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https://bradleystoke.sharepoint.com/Data/BSTC Business Plan/Annual Reviews/2026/"/>
    </mc:Choice>
  </mc:AlternateContent>
  <xr:revisionPtr revIDLastSave="0" documentId="8_{68BF9EEF-EF49-4FF9-BCA7-E052392FD1DB}" xr6:coauthVersionLast="47" xr6:coauthVersionMax="47" xr10:uidLastSave="{00000000-0000-0000-0000-000000000000}"/>
  <bookViews>
    <workbookView xWindow="-120" yWindow="-120" windowWidth="29040" windowHeight="15720" xr2:uid="{00000000-000D-0000-FFFF-FFFF00000000}"/>
  </bookViews>
  <sheets>
    <sheet name="5 Year Plan Summary " sheetId="1" r:id="rId1"/>
    <sheet name="5 year budget " sheetId="2" r:id="rId2"/>
  </sheets>
  <externalReferences>
    <externalReference r:id="rId3"/>
  </externalReferences>
  <definedNames>
    <definedName name="_xlnm.Print_Area" localSheetId="1">'5 year budget '!$A$1:$AH$267</definedName>
    <definedName name="_xlnm.Print_Area" localSheetId="0">'5 Year Plan Summary '!$A$1:$W$38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87" i="2" l="1"/>
  <c r="AB187" i="2"/>
  <c r="Z187" i="2"/>
  <c r="V187" i="2"/>
  <c r="AC75" i="2" l="1"/>
  <c r="V223" i="2"/>
  <c r="AB223" i="2"/>
  <c r="Z223" i="2"/>
  <c r="X223" i="2"/>
  <c r="Y180" i="2"/>
  <c r="AA180" i="2" s="1"/>
  <c r="AC180" i="2" s="1"/>
  <c r="W33" i="1"/>
  <c r="W34" i="1" s="1"/>
  <c r="W25" i="1"/>
  <c r="W12" i="1"/>
  <c r="W8" i="1"/>
  <c r="W6" i="1"/>
  <c r="W5" i="1"/>
  <c r="W4" i="1"/>
  <c r="AA131" i="2"/>
  <c r="AC265" i="2" l="1"/>
  <c r="AB264" i="2"/>
  <c r="AB263" i="2"/>
  <c r="AB262" i="2"/>
  <c r="AB261" i="2"/>
  <c r="AB260" i="2"/>
  <c r="AB258" i="2"/>
  <c r="AB257" i="2"/>
  <c r="AB256" i="2"/>
  <c r="AB255" i="2"/>
  <c r="AB253" i="2"/>
  <c r="AB252" i="2"/>
  <c r="AB251" i="2"/>
  <c r="AB250" i="2"/>
  <c r="AB249" i="2"/>
  <c r="AB248" i="2"/>
  <c r="AB247" i="2"/>
  <c r="AB246" i="2"/>
  <c r="AB245" i="2"/>
  <c r="AB243" i="2"/>
  <c r="AB242" i="2"/>
  <c r="AB241" i="2"/>
  <c r="AB240" i="2"/>
  <c r="AB239" i="2"/>
  <c r="AB238" i="2"/>
  <c r="AB237" i="2"/>
  <c r="AB236" i="2"/>
  <c r="AB234" i="2"/>
  <c r="AB233" i="2"/>
  <c r="AB232" i="2"/>
  <c r="AB231" i="2"/>
  <c r="AB230" i="2"/>
  <c r="AB229" i="2"/>
  <c r="AC228" i="2"/>
  <c r="AB228" i="2"/>
  <c r="AC226" i="2"/>
  <c r="W20" i="1" s="1"/>
  <c r="AB225" i="2"/>
  <c r="AB224" i="2"/>
  <c r="AB222" i="2"/>
  <c r="AB221" i="2"/>
  <c r="AB220" i="2"/>
  <c r="AB219" i="2"/>
  <c r="AB218" i="2"/>
  <c r="AB217" i="2"/>
  <c r="AB216" i="2"/>
  <c r="AB215" i="2"/>
  <c r="AB214" i="2"/>
  <c r="AB213" i="2"/>
  <c r="AB211" i="2"/>
  <c r="AB210" i="2"/>
  <c r="AB209" i="2"/>
  <c r="AB208" i="2"/>
  <c r="AB207" i="2"/>
  <c r="AB206" i="2"/>
  <c r="AC205" i="2"/>
  <c r="AB205" i="2"/>
  <c r="AB203" i="2"/>
  <c r="AB201" i="2"/>
  <c r="AB199" i="2"/>
  <c r="AB198" i="2"/>
  <c r="AB197" i="2"/>
  <c r="AB196" i="2"/>
  <c r="AB194" i="2"/>
  <c r="AB193" i="2"/>
  <c r="AB192" i="2"/>
  <c r="AB191" i="2"/>
  <c r="AB190" i="2"/>
  <c r="AB189" i="2"/>
  <c r="AB188" i="2"/>
  <c r="AB186" i="2"/>
  <c r="AC185" i="2"/>
  <c r="AB185" i="2"/>
  <c r="AB183" i="2"/>
  <c r="AB182" i="2"/>
  <c r="AB180" i="2"/>
  <c r="AB178" i="2"/>
  <c r="AB173" i="2"/>
  <c r="AB170" i="2"/>
  <c r="AB167" i="2"/>
  <c r="AC166" i="2"/>
  <c r="AB166" i="2"/>
  <c r="AB163" i="2"/>
  <c r="AB159" i="2"/>
  <c r="AB151" i="2"/>
  <c r="AB148" i="2"/>
  <c r="AC147" i="2"/>
  <c r="AB145" i="2"/>
  <c r="AB144" i="2"/>
  <c r="AB138" i="2"/>
  <c r="AB130" i="2"/>
  <c r="AB127" i="2"/>
  <c r="AC126" i="2"/>
  <c r="AB126" i="2"/>
  <c r="AC121" i="2"/>
  <c r="AB120" i="2"/>
  <c r="AB119" i="2"/>
  <c r="AB118" i="2"/>
  <c r="AB117" i="2"/>
  <c r="AB116" i="2"/>
  <c r="AB115" i="2"/>
  <c r="AB114" i="2"/>
  <c r="AB113" i="2"/>
  <c r="AB112" i="2"/>
  <c r="AB111" i="2"/>
  <c r="AB108" i="2"/>
  <c r="AB107" i="2"/>
  <c r="AB106" i="2"/>
  <c r="AB105" i="2"/>
  <c r="AB104" i="2"/>
  <c r="AB103" i="2"/>
  <c r="AB102" i="2"/>
  <c r="AB100" i="2"/>
  <c r="AB99" i="2"/>
  <c r="AB98" i="2"/>
  <c r="AB97" i="2"/>
  <c r="AB96" i="2"/>
  <c r="AB94" i="2"/>
  <c r="AB91" i="2"/>
  <c r="AB90" i="2"/>
  <c r="AB89" i="2"/>
  <c r="AB88" i="2"/>
  <c r="AB87" i="2"/>
  <c r="AB86" i="2"/>
  <c r="AB85" i="2"/>
  <c r="AB83" i="2"/>
  <c r="AB81" i="2"/>
  <c r="AB80" i="2"/>
  <c r="AB78" i="2"/>
  <c r="AC76" i="2"/>
  <c r="AB75" i="2"/>
  <c r="AB74" i="2"/>
  <c r="AB73" i="2"/>
  <c r="AB71" i="2"/>
  <c r="AB70" i="2"/>
  <c r="AB68" i="2"/>
  <c r="AB65" i="2"/>
  <c r="AB62" i="2"/>
  <c r="AB57" i="2"/>
  <c r="AB56" i="2"/>
  <c r="AB55" i="2"/>
  <c r="AB53" i="2"/>
  <c r="AB51" i="2"/>
  <c r="AB46" i="2"/>
  <c r="AB42" i="2"/>
  <c r="AC39" i="2"/>
  <c r="AB39" i="2"/>
  <c r="AB147" i="2" s="1"/>
  <c r="AB33" i="2"/>
  <c r="AB32" i="2"/>
  <c r="AB31" i="2"/>
  <c r="AB30" i="2"/>
  <c r="AB29" i="2"/>
  <c r="AB28" i="2"/>
  <c r="AB27" i="2"/>
  <c r="AB26" i="2"/>
  <c r="AB25" i="2"/>
  <c r="AB24" i="2"/>
  <c r="AB23" i="2"/>
  <c r="AB22" i="2"/>
  <c r="AB18" i="2"/>
  <c r="AB17" i="2"/>
  <c r="AB16" i="2"/>
  <c r="AB15" i="2"/>
  <c r="AB14" i="2"/>
  <c r="AB13" i="2"/>
  <c r="AB8" i="2"/>
  <c r="AB7" i="2"/>
  <c r="AB6" i="2"/>
  <c r="AB5" i="2"/>
  <c r="R13" i="1"/>
  <c r="W158" i="2"/>
  <c r="T12" i="1" l="1"/>
  <c r="S13" i="1"/>
  <c r="S12" i="1"/>
  <c r="Z56" i="2"/>
  <c r="X56" i="2"/>
  <c r="V56" i="2"/>
  <c r="T56" i="2"/>
  <c r="R5" i="1"/>
  <c r="Q5" i="1"/>
  <c r="Z98" i="2"/>
  <c r="X98" i="2"/>
  <c r="V98" i="2"/>
  <c r="R6" i="1" l="1"/>
  <c r="W92" i="2"/>
  <c r="Y92" i="2" l="1"/>
  <c r="T13" i="1"/>
  <c r="Z230" i="2"/>
  <c r="X230" i="2"/>
  <c r="V230" i="2"/>
  <c r="T230" i="2"/>
  <c r="R230" i="2"/>
  <c r="P230" i="2"/>
  <c r="N230" i="2"/>
  <c r="L230" i="2"/>
  <c r="J230" i="2"/>
  <c r="Z234" i="2"/>
  <c r="X234" i="2"/>
  <c r="V234" i="2"/>
  <c r="N234" i="2"/>
  <c r="J234" i="2"/>
  <c r="L234" i="2"/>
  <c r="P234" i="2"/>
  <c r="R234" i="2"/>
  <c r="R119" i="2"/>
  <c r="Z118" i="2"/>
  <c r="X118" i="2"/>
  <c r="V118" i="2"/>
  <c r="T118" i="2"/>
  <c r="R118" i="2"/>
  <c r="P118" i="2"/>
  <c r="N118" i="2"/>
  <c r="L118" i="2"/>
  <c r="J118" i="2"/>
  <c r="R33" i="2"/>
  <c r="Z32" i="2"/>
  <c r="X32" i="2"/>
  <c r="V32" i="2"/>
  <c r="T32" i="2"/>
  <c r="R32" i="2"/>
  <c r="P32" i="2"/>
  <c r="N32" i="2"/>
  <c r="L32" i="2"/>
  <c r="J32" i="2"/>
  <c r="V25" i="1"/>
  <c r="V8" i="1"/>
  <c r="V6" i="1"/>
  <c r="V5" i="1"/>
  <c r="V4" i="1"/>
  <c r="W172" i="2"/>
  <c r="Y172" i="2" s="1"/>
  <c r="Y171" i="2"/>
  <c r="AA171" i="2" s="1"/>
  <c r="AC171" i="2" s="1"/>
  <c r="AB171" i="2" s="1"/>
  <c r="Y153" i="2"/>
  <c r="AA153" i="2" s="1"/>
  <c r="AC153" i="2" s="1"/>
  <c r="AB153" i="2" s="1"/>
  <c r="Y152" i="2"/>
  <c r="AA152" i="2" s="1"/>
  <c r="AC152" i="2" s="1"/>
  <c r="AB152" i="2" s="1"/>
  <c r="Y132" i="2"/>
  <c r="AA132" i="2" s="1"/>
  <c r="AC132" i="2" s="1"/>
  <c r="AB132" i="2" s="1"/>
  <c r="W133" i="2"/>
  <c r="Y133" i="2" s="1"/>
  <c r="AA133" i="2" s="1"/>
  <c r="AC133" i="2" s="1"/>
  <c r="AB133" i="2" s="1"/>
  <c r="Z70" i="2"/>
  <c r="X70" i="2"/>
  <c r="V70" i="2"/>
  <c r="T70" i="2"/>
  <c r="Y67" i="2"/>
  <c r="AA67" i="2" s="1"/>
  <c r="AC67" i="2" s="1"/>
  <c r="AB67" i="2" s="1"/>
  <c r="AA92" i="2" l="1"/>
  <c r="U13" i="1"/>
  <c r="AA172" i="2"/>
  <c r="X172" i="2"/>
  <c r="Z14" i="2"/>
  <c r="Z264" i="2"/>
  <c r="Z263" i="2"/>
  <c r="Z262" i="2"/>
  <c r="Z261" i="2"/>
  <c r="Z260" i="2"/>
  <c r="Z258" i="2"/>
  <c r="Z257" i="2"/>
  <c r="Z256" i="2"/>
  <c r="Z255" i="2"/>
  <c r="Z253" i="2"/>
  <c r="Z252" i="2"/>
  <c r="Z251" i="2"/>
  <c r="Z250" i="2"/>
  <c r="Z249" i="2"/>
  <c r="Z248" i="2"/>
  <c r="Z247" i="2"/>
  <c r="Z246" i="2"/>
  <c r="Z245" i="2"/>
  <c r="Z243" i="2"/>
  <c r="Z242" i="2"/>
  <c r="Z241" i="2"/>
  <c r="Z240" i="2"/>
  <c r="Z239" i="2"/>
  <c r="Z238" i="2"/>
  <c r="Z237" i="2"/>
  <c r="Z236" i="2"/>
  <c r="Z233" i="2"/>
  <c r="Z232" i="2"/>
  <c r="Z231" i="2"/>
  <c r="Z229" i="2"/>
  <c r="AA228" i="2"/>
  <c r="Z228" i="2"/>
  <c r="AA226" i="2"/>
  <c r="Z225" i="2"/>
  <c r="Z224" i="2"/>
  <c r="Z222" i="2"/>
  <c r="Z221" i="2"/>
  <c r="Z220" i="2"/>
  <c r="Z219" i="2"/>
  <c r="Z218" i="2"/>
  <c r="Z217" i="2"/>
  <c r="Z216" i="2"/>
  <c r="Z215" i="2"/>
  <c r="Z214" i="2"/>
  <c r="Z213" i="2"/>
  <c r="Z211" i="2"/>
  <c r="Z210" i="2"/>
  <c r="Z209" i="2"/>
  <c r="Z208" i="2"/>
  <c r="Z207" i="2"/>
  <c r="Z206" i="2"/>
  <c r="AA205" i="2"/>
  <c r="Z205" i="2"/>
  <c r="Z203" i="2"/>
  <c r="Z201" i="2"/>
  <c r="Z199" i="2"/>
  <c r="Z198" i="2"/>
  <c r="Z196" i="2"/>
  <c r="Z194" i="2"/>
  <c r="Z193" i="2"/>
  <c r="Z192" i="2"/>
  <c r="Z191" i="2"/>
  <c r="Z190" i="2"/>
  <c r="Z189" i="2"/>
  <c r="Z188" i="2"/>
  <c r="Z186" i="2"/>
  <c r="AA185" i="2"/>
  <c r="Z185" i="2"/>
  <c r="Z183" i="2"/>
  <c r="Z182" i="2"/>
  <c r="Z180" i="2"/>
  <c r="Z178" i="2"/>
  <c r="Z173" i="2"/>
  <c r="Z171" i="2"/>
  <c r="Z170" i="2"/>
  <c r="Z167" i="2"/>
  <c r="AA166" i="2"/>
  <c r="Z166" i="2"/>
  <c r="Z163" i="2"/>
  <c r="Z159" i="2"/>
  <c r="Z151" i="2"/>
  <c r="Z148" i="2"/>
  <c r="AA147" i="2"/>
  <c r="Z145" i="2"/>
  <c r="Z144" i="2"/>
  <c r="Z138" i="2"/>
  <c r="Z130" i="2"/>
  <c r="Z127" i="2"/>
  <c r="AA126" i="2"/>
  <c r="Z126" i="2"/>
  <c r="AA121" i="2"/>
  <c r="AB121" i="2" s="1"/>
  <c r="Z120" i="2"/>
  <c r="Z119" i="2"/>
  <c r="Z117" i="2"/>
  <c r="Z116" i="2"/>
  <c r="Z115" i="2"/>
  <c r="Z114" i="2"/>
  <c r="Z113" i="2"/>
  <c r="Z112" i="2"/>
  <c r="Z111" i="2"/>
  <c r="Z108" i="2"/>
  <c r="Z107" i="2"/>
  <c r="Z106" i="2"/>
  <c r="Z105" i="2"/>
  <c r="Z104" i="2"/>
  <c r="Z103" i="2"/>
  <c r="Z102" i="2"/>
  <c r="Z100" i="2"/>
  <c r="Z99" i="2"/>
  <c r="Z97" i="2"/>
  <c r="Z96" i="2"/>
  <c r="Z94" i="2"/>
  <c r="Z91" i="2"/>
  <c r="Z90" i="2"/>
  <c r="Z89" i="2"/>
  <c r="Z88" i="2"/>
  <c r="Z87" i="2"/>
  <c r="Z86" i="2"/>
  <c r="Z85" i="2"/>
  <c r="Z83" i="2"/>
  <c r="Z81" i="2"/>
  <c r="Z80" i="2"/>
  <c r="Z78" i="2"/>
  <c r="AA76" i="2"/>
  <c r="AB76" i="2" s="1"/>
  <c r="Z75" i="2"/>
  <c r="Z74" i="2"/>
  <c r="Z73" i="2"/>
  <c r="Z71" i="2"/>
  <c r="Z68" i="2"/>
  <c r="Z65" i="2"/>
  <c r="Z57" i="2"/>
  <c r="Z53" i="2"/>
  <c r="Z51" i="2"/>
  <c r="Z46" i="2"/>
  <c r="Z42" i="2"/>
  <c r="AA39" i="2"/>
  <c r="Z39" i="2"/>
  <c r="Z147" i="2" s="1"/>
  <c r="Z33" i="2"/>
  <c r="Z31" i="2"/>
  <c r="Z30" i="2"/>
  <c r="Z29" i="2"/>
  <c r="Z28" i="2"/>
  <c r="Z27" i="2"/>
  <c r="Z26" i="2"/>
  <c r="Z25" i="2"/>
  <c r="Z24" i="2"/>
  <c r="Z23" i="2"/>
  <c r="Z18" i="2"/>
  <c r="Z17" i="2"/>
  <c r="Z16" i="2"/>
  <c r="Z15" i="2"/>
  <c r="Z13" i="2"/>
  <c r="Z8" i="2"/>
  <c r="Z7" i="2"/>
  <c r="Z6" i="2"/>
  <c r="Z5" i="2"/>
  <c r="V20" i="1" l="1"/>
  <c r="AB226" i="2"/>
  <c r="Z172" i="2"/>
  <c r="AC172" i="2"/>
  <c r="AB172" i="2" s="1"/>
  <c r="V13" i="1"/>
  <c r="AC92" i="2"/>
  <c r="W13" i="1" s="1"/>
  <c r="AA265" i="2"/>
  <c r="AB265" i="2" l="1"/>
  <c r="AC267" i="2"/>
  <c r="W22" i="1" s="1"/>
  <c r="AC93" i="2"/>
  <c r="AB92" i="2"/>
  <c r="U21" i="2"/>
  <c r="U19" i="2"/>
  <c r="S20" i="2"/>
  <c r="U20" i="2" s="1"/>
  <c r="W20" i="2" s="1"/>
  <c r="Y20" i="2" s="1"/>
  <c r="AA20" i="2" s="1"/>
  <c r="W157" i="2"/>
  <c r="Z20" i="2" l="1"/>
  <c r="AC20" i="2"/>
  <c r="AB20" i="2" s="1"/>
  <c r="W19" i="2"/>
  <c r="Y19" i="2" s="1"/>
  <c r="AA19" i="2" s="1"/>
  <c r="W21" i="2"/>
  <c r="Y21" i="2" s="1"/>
  <c r="AA21" i="2" s="1"/>
  <c r="V240" i="2"/>
  <c r="Z67" i="2"/>
  <c r="AC19" i="2" l="1"/>
  <c r="Z21" i="2"/>
  <c r="AC21" i="2"/>
  <c r="AB21" i="2" s="1"/>
  <c r="V28" i="2"/>
  <c r="U4" i="1" l="1"/>
  <c r="T4" i="1"/>
  <c r="S4" i="1"/>
  <c r="R4" i="1"/>
  <c r="Q4" i="1"/>
  <c r="U5" i="1"/>
  <c r="T5" i="1"/>
  <c r="S5" i="1"/>
  <c r="J229" i="2" l="1"/>
  <c r="L229" i="2"/>
  <c r="N229" i="2"/>
  <c r="P229" i="2"/>
  <c r="R229" i="2"/>
  <c r="T229" i="2"/>
  <c r="V229" i="2"/>
  <c r="X229" i="2"/>
  <c r="W54" i="2"/>
  <c r="Y54" i="2" s="1"/>
  <c r="AA54" i="2" s="1"/>
  <c r="T242" i="2"/>
  <c r="Z54" i="2" l="1"/>
  <c r="AC54" i="2"/>
  <c r="AB54" i="2" s="1"/>
  <c r="R245" i="2"/>
  <c r="T245" i="2"/>
  <c r="J10" i="2" l="1"/>
  <c r="L10" i="2"/>
  <c r="N10" i="2"/>
  <c r="P10" i="2"/>
  <c r="J11" i="2"/>
  <c r="L11" i="2"/>
  <c r="N11" i="2"/>
  <c r="P11" i="2"/>
  <c r="J12" i="2"/>
  <c r="L12" i="2"/>
  <c r="N12" i="2"/>
  <c r="P12" i="2"/>
  <c r="Z153" i="2"/>
  <c r="X153" i="2"/>
  <c r="V153" i="2"/>
  <c r="Z132" i="2"/>
  <c r="W60" i="2"/>
  <c r="Y60" i="2" s="1"/>
  <c r="AA60" i="2" s="1"/>
  <c r="W63" i="2"/>
  <c r="Y63" i="2" s="1"/>
  <c r="AA63" i="2" s="1"/>
  <c r="Y61" i="2"/>
  <c r="AA61" i="2" s="1"/>
  <c r="Z61" i="2" l="1"/>
  <c r="AC61" i="2"/>
  <c r="AB61" i="2" s="1"/>
  <c r="Z60" i="2"/>
  <c r="AC60" i="2"/>
  <c r="AB60" i="2" s="1"/>
  <c r="Z63" i="2"/>
  <c r="AC63" i="2"/>
  <c r="AB63" i="2" s="1"/>
  <c r="U12" i="1"/>
  <c r="Z101" i="2"/>
  <c r="X222" i="2"/>
  <c r="V222" i="2"/>
  <c r="T222" i="2"/>
  <c r="R222" i="2"/>
  <c r="V12" i="1" l="1"/>
  <c r="AB101" i="2"/>
  <c r="T218" i="2"/>
  <c r="W154" i="2"/>
  <c r="Y154" i="2" s="1"/>
  <c r="AA154" i="2" s="1"/>
  <c r="Z133" i="2"/>
  <c r="Z154" i="2" l="1"/>
  <c r="AC154" i="2"/>
  <c r="AB154" i="2" s="1"/>
  <c r="AA93" i="2"/>
  <c r="AB93" i="2" s="1"/>
  <c r="Z92" i="2"/>
  <c r="X14" i="2"/>
  <c r="V14" i="2"/>
  <c r="T14" i="2"/>
  <c r="R14" i="2"/>
  <c r="P14" i="2"/>
  <c r="N14" i="2"/>
  <c r="L14" i="2"/>
  <c r="J14" i="2"/>
  <c r="O4" i="1"/>
  <c r="Q34" i="2"/>
  <c r="X91" i="2"/>
  <c r="V91" i="2"/>
  <c r="T91" i="2"/>
  <c r="R91" i="2"/>
  <c r="X119" i="2"/>
  <c r="V119" i="2"/>
  <c r="T119" i="2"/>
  <c r="P119" i="2"/>
  <c r="N119" i="2"/>
  <c r="L119" i="2"/>
  <c r="J119" i="2"/>
  <c r="U25" i="1" l="1"/>
  <c r="U8" i="1"/>
  <c r="U6" i="1"/>
  <c r="X264" i="2"/>
  <c r="X263" i="2"/>
  <c r="X262" i="2"/>
  <c r="X261" i="2"/>
  <c r="X260" i="2"/>
  <c r="X258" i="2"/>
  <c r="X257" i="2"/>
  <c r="X256" i="2"/>
  <c r="X255" i="2"/>
  <c r="X253" i="2"/>
  <c r="X252" i="2"/>
  <c r="X251" i="2"/>
  <c r="X250" i="2"/>
  <c r="X249" i="2"/>
  <c r="X248" i="2"/>
  <c r="X247" i="2"/>
  <c r="X246" i="2"/>
  <c r="X245" i="2"/>
  <c r="X243" i="2"/>
  <c r="X242" i="2"/>
  <c r="X241" i="2"/>
  <c r="X240" i="2"/>
  <c r="X239" i="2"/>
  <c r="X238" i="2"/>
  <c r="X237" i="2"/>
  <c r="X236" i="2"/>
  <c r="X233" i="2"/>
  <c r="X232" i="2"/>
  <c r="X231" i="2"/>
  <c r="Y228" i="2"/>
  <c r="X228" i="2"/>
  <c r="Y226" i="2"/>
  <c r="Z226" i="2" s="1"/>
  <c r="X225" i="2"/>
  <c r="X224" i="2"/>
  <c r="X221" i="2"/>
  <c r="X220" i="2"/>
  <c r="X219" i="2"/>
  <c r="X218" i="2"/>
  <c r="X217" i="2"/>
  <c r="X216" i="2"/>
  <c r="X215" i="2"/>
  <c r="X214" i="2"/>
  <c r="X213" i="2"/>
  <c r="X211" i="2"/>
  <c r="X210" i="2"/>
  <c r="X209" i="2"/>
  <c r="X208" i="2"/>
  <c r="X207" i="2"/>
  <c r="X206" i="2"/>
  <c r="Y205" i="2"/>
  <c r="X205" i="2"/>
  <c r="X203" i="2"/>
  <c r="X201" i="2"/>
  <c r="X199" i="2"/>
  <c r="X198" i="2"/>
  <c r="X196" i="2"/>
  <c r="X194" i="2"/>
  <c r="X193" i="2"/>
  <c r="X192" i="2"/>
  <c r="X191" i="2"/>
  <c r="X190" i="2"/>
  <c r="X189" i="2"/>
  <c r="X188" i="2"/>
  <c r="X186" i="2"/>
  <c r="Y185" i="2"/>
  <c r="X185" i="2"/>
  <c r="X183" i="2"/>
  <c r="X182" i="2"/>
  <c r="X180" i="2"/>
  <c r="X178" i="2"/>
  <c r="X173" i="2"/>
  <c r="X170" i="2"/>
  <c r="X167" i="2"/>
  <c r="Y166" i="2"/>
  <c r="X166" i="2"/>
  <c r="X163" i="2"/>
  <c r="X159" i="2"/>
  <c r="X154" i="2"/>
  <c r="X151" i="2"/>
  <c r="X148" i="2"/>
  <c r="Y147" i="2"/>
  <c r="X145" i="2"/>
  <c r="X144" i="2"/>
  <c r="X138" i="2"/>
  <c r="X130" i="2"/>
  <c r="X127" i="2"/>
  <c r="Y126" i="2"/>
  <c r="X126" i="2"/>
  <c r="Y121" i="2"/>
  <c r="Z121" i="2" s="1"/>
  <c r="X120" i="2"/>
  <c r="X117" i="2"/>
  <c r="X116" i="2"/>
  <c r="X115" i="2"/>
  <c r="X114" i="2"/>
  <c r="X113" i="2"/>
  <c r="X112" i="2"/>
  <c r="X111" i="2"/>
  <c r="X108" i="2"/>
  <c r="X107" i="2"/>
  <c r="X106" i="2"/>
  <c r="X105" i="2"/>
  <c r="X104" i="2"/>
  <c r="X103" i="2"/>
  <c r="X102" i="2"/>
  <c r="X100" i="2"/>
  <c r="X97" i="2"/>
  <c r="X96" i="2"/>
  <c r="X94" i="2"/>
  <c r="X90" i="2"/>
  <c r="X89" i="2"/>
  <c r="X88" i="2"/>
  <c r="X87" i="2"/>
  <c r="X86" i="2"/>
  <c r="X85" i="2"/>
  <c r="X83" i="2"/>
  <c r="X81" i="2"/>
  <c r="X80" i="2"/>
  <c r="X78" i="2"/>
  <c r="X71" i="2"/>
  <c r="X68" i="2"/>
  <c r="X60" i="2"/>
  <c r="X57" i="2"/>
  <c r="X53" i="2"/>
  <c r="X51" i="2"/>
  <c r="X46" i="2"/>
  <c r="X42" i="2"/>
  <c r="Y39" i="2"/>
  <c r="X39" i="2"/>
  <c r="X147" i="2" s="1"/>
  <c r="X33" i="2"/>
  <c r="X31" i="2"/>
  <c r="X30" i="2"/>
  <c r="X29" i="2"/>
  <c r="X28" i="2"/>
  <c r="X27" i="2"/>
  <c r="X26" i="2"/>
  <c r="X25" i="2"/>
  <c r="X24" i="2"/>
  <c r="X23" i="2"/>
  <c r="X22" i="2"/>
  <c r="X21" i="2"/>
  <c r="X20" i="2"/>
  <c r="X19" i="2"/>
  <c r="X18" i="2"/>
  <c r="X17" i="2"/>
  <c r="X16" i="2"/>
  <c r="X15" i="2"/>
  <c r="X13" i="2"/>
  <c r="X8" i="2"/>
  <c r="X7" i="2"/>
  <c r="X6" i="2"/>
  <c r="X5" i="2"/>
  <c r="U20" i="1" l="1"/>
  <c r="N193" i="2"/>
  <c r="L193" i="2"/>
  <c r="J193" i="2"/>
  <c r="Q7" i="1"/>
  <c r="P70" i="2"/>
  <c r="Y265" i="2" l="1"/>
  <c r="V31" i="2"/>
  <c r="T31" i="2"/>
  <c r="R31" i="2"/>
  <c r="P31" i="2"/>
  <c r="N31" i="2"/>
  <c r="L31" i="2"/>
  <c r="J31" i="2"/>
  <c r="V193" i="2"/>
  <c r="T193" i="2"/>
  <c r="R193" i="2"/>
  <c r="P193" i="2"/>
  <c r="V253" i="2"/>
  <c r="T253" i="2"/>
  <c r="R253" i="2"/>
  <c r="P253" i="2"/>
  <c r="N253" i="2"/>
  <c r="L253" i="2"/>
  <c r="J253" i="2"/>
  <c r="P216" i="2"/>
  <c r="V216" i="2"/>
  <c r="T216" i="2"/>
  <c r="R216" i="2"/>
  <c r="Z265" i="2" l="1"/>
  <c r="AA267" i="2"/>
  <c r="V22" i="1" s="1"/>
  <c r="S124" i="2" l="1"/>
  <c r="U124" i="2" s="1"/>
  <c r="W124" i="2" s="1"/>
  <c r="Y124" i="2" s="1"/>
  <c r="AA124" i="2" s="1"/>
  <c r="AC124" i="2" s="1"/>
  <c r="V251" i="2"/>
  <c r="M4" i="1"/>
  <c r="X75" i="2" l="1"/>
  <c r="X74" i="2"/>
  <c r="X73" i="2" l="1"/>
  <c r="V73" i="2"/>
  <c r="P176" i="2"/>
  <c r="Y76" i="2" l="1"/>
  <c r="Z76" i="2" s="1"/>
  <c r="R176" i="2"/>
  <c r="M34" i="2" l="1"/>
  <c r="K3" i="2" a="1"/>
  <c r="K3" i="2" s="1"/>
  <c r="V33" i="2"/>
  <c r="T33" i="2"/>
  <c r="P33" i="2"/>
  <c r="N33" i="2"/>
  <c r="L33" i="2"/>
  <c r="J33" i="2"/>
  <c r="M121" i="2" l="1"/>
  <c r="O34" i="2"/>
  <c r="V117" i="2"/>
  <c r="T117" i="2"/>
  <c r="R117" i="2"/>
  <c r="P117" i="2"/>
  <c r="N117" i="2"/>
  <c r="L117" i="2"/>
  <c r="J117" i="2"/>
  <c r="V74" i="2" l="1"/>
  <c r="T25" i="1"/>
  <c r="T8" i="1"/>
  <c r="T6" i="1"/>
  <c r="V264" i="2"/>
  <c r="V263" i="2"/>
  <c r="V262" i="2"/>
  <c r="V261" i="2"/>
  <c r="V260" i="2"/>
  <c r="V258" i="2"/>
  <c r="V257" i="2"/>
  <c r="V256" i="2"/>
  <c r="V255" i="2"/>
  <c r="V252" i="2"/>
  <c r="V250" i="2"/>
  <c r="V249" i="2"/>
  <c r="V248" i="2"/>
  <c r="V247" i="2"/>
  <c r="V246" i="2"/>
  <c r="V245" i="2"/>
  <c r="V243" i="2"/>
  <c r="V242" i="2"/>
  <c r="V241" i="2"/>
  <c r="V239" i="2"/>
  <c r="V238" i="2"/>
  <c r="V237" i="2"/>
  <c r="V236" i="2"/>
  <c r="V233" i="2"/>
  <c r="V232" i="2"/>
  <c r="V231" i="2"/>
  <c r="W228" i="2"/>
  <c r="V228" i="2"/>
  <c r="W226" i="2"/>
  <c r="V225" i="2"/>
  <c r="V224" i="2"/>
  <c r="V221" i="2"/>
  <c r="V220" i="2"/>
  <c r="V219" i="2"/>
  <c r="V218" i="2"/>
  <c r="V217" i="2"/>
  <c r="V215" i="2"/>
  <c r="V214" i="2"/>
  <c r="V213" i="2"/>
  <c r="V211" i="2"/>
  <c r="V210" i="2"/>
  <c r="V209" i="2"/>
  <c r="V208" i="2"/>
  <c r="V207" i="2"/>
  <c r="V206" i="2"/>
  <c r="W205" i="2"/>
  <c r="V205" i="2"/>
  <c r="V203" i="2"/>
  <c r="V201" i="2"/>
  <c r="V199" i="2"/>
  <c r="V198" i="2"/>
  <c r="V196" i="2"/>
  <c r="V194" i="2"/>
  <c r="V192" i="2"/>
  <c r="V191" i="2"/>
  <c r="V190" i="2"/>
  <c r="V189" i="2"/>
  <c r="V188" i="2"/>
  <c r="V186" i="2"/>
  <c r="W185" i="2"/>
  <c r="V185" i="2"/>
  <c r="V183" i="2"/>
  <c r="V182" i="2"/>
  <c r="V178" i="2"/>
  <c r="V173" i="2"/>
  <c r="V170" i="2"/>
  <c r="V167" i="2"/>
  <c r="W166" i="2"/>
  <c r="V166" i="2"/>
  <c r="V163" i="2"/>
  <c r="V159" i="2"/>
  <c r="V154" i="2"/>
  <c r="V151" i="2"/>
  <c r="V148" i="2"/>
  <c r="W147" i="2"/>
  <c r="V145" i="2"/>
  <c r="V144" i="2"/>
  <c r="V138" i="2"/>
  <c r="V130" i="2"/>
  <c r="V127" i="2"/>
  <c r="W126" i="2"/>
  <c r="V126" i="2"/>
  <c r="W121" i="2"/>
  <c r="X121" i="2" s="1"/>
  <c r="V120" i="2"/>
  <c r="V116" i="2"/>
  <c r="V115" i="2"/>
  <c r="V114" i="2"/>
  <c r="V113" i="2"/>
  <c r="V112" i="2"/>
  <c r="V111" i="2"/>
  <c r="V108" i="2"/>
  <c r="V107" i="2"/>
  <c r="V106" i="2"/>
  <c r="V105" i="2"/>
  <c r="V104" i="2"/>
  <c r="V103" i="2"/>
  <c r="V102" i="2"/>
  <c r="V100" i="2"/>
  <c r="V97" i="2"/>
  <c r="V96" i="2"/>
  <c r="V94" i="2"/>
  <c r="V90" i="2"/>
  <c r="V89" i="2"/>
  <c r="V88" i="2"/>
  <c r="V87" i="2"/>
  <c r="V86" i="2"/>
  <c r="V85" i="2"/>
  <c r="V83" i="2"/>
  <c r="V81" i="2"/>
  <c r="V80" i="2"/>
  <c r="V78" i="2"/>
  <c r="V71" i="2"/>
  <c r="V68" i="2"/>
  <c r="V60" i="2"/>
  <c r="V57" i="2"/>
  <c r="V53" i="2"/>
  <c r="V51" i="2"/>
  <c r="V46" i="2"/>
  <c r="V42" i="2"/>
  <c r="W39" i="2"/>
  <c r="V39" i="2"/>
  <c r="V147" i="2" s="1"/>
  <c r="V30" i="2"/>
  <c r="V29" i="2"/>
  <c r="V27" i="2"/>
  <c r="V26" i="2"/>
  <c r="V25" i="2"/>
  <c r="V24" i="2"/>
  <c r="V23" i="2"/>
  <c r="V22" i="2"/>
  <c r="V21" i="2"/>
  <c r="V20" i="2"/>
  <c r="V19" i="2"/>
  <c r="V18" i="2"/>
  <c r="V17" i="2"/>
  <c r="V16" i="2"/>
  <c r="V15" i="2"/>
  <c r="V13" i="2"/>
  <c r="V8" i="2"/>
  <c r="V7" i="2"/>
  <c r="V6" i="2"/>
  <c r="V5" i="2"/>
  <c r="X55" i="2" l="1"/>
  <c r="Z55" i="2"/>
  <c r="T20" i="1"/>
  <c r="X226" i="2"/>
  <c r="W76" i="2"/>
  <c r="X76" i="2" s="1"/>
  <c r="V75" i="2"/>
  <c r="W265" i="2" l="1"/>
  <c r="X265" i="2" l="1"/>
  <c r="Y267" i="2"/>
  <c r="U22" i="1" s="1"/>
  <c r="O8" i="1"/>
  <c r="O12" i="1"/>
  <c r="T116" i="2"/>
  <c r="R116" i="2"/>
  <c r="P116" i="2"/>
  <c r="T115" i="2"/>
  <c r="R115" i="2"/>
  <c r="P115" i="2"/>
  <c r="K34" i="2"/>
  <c r="T29" i="2"/>
  <c r="R29" i="2"/>
  <c r="P29" i="2"/>
  <c r="N29" i="2"/>
  <c r="L29" i="2"/>
  <c r="J29" i="2"/>
  <c r="T28" i="2"/>
  <c r="R28" i="2"/>
  <c r="P28" i="2"/>
  <c r="N28" i="2"/>
  <c r="L28" i="2"/>
  <c r="J28" i="2"/>
  <c r="S25" i="1" l="1"/>
  <c r="S8" i="1"/>
  <c r="S6" i="1"/>
  <c r="T60" i="2"/>
  <c r="T264" i="2"/>
  <c r="T263" i="2"/>
  <c r="T262" i="2"/>
  <c r="T261" i="2"/>
  <c r="T260" i="2"/>
  <c r="T258" i="2"/>
  <c r="T257" i="2"/>
  <c r="T256" i="2"/>
  <c r="T255" i="2"/>
  <c r="T252" i="2"/>
  <c r="T251" i="2"/>
  <c r="T250" i="2"/>
  <c r="T249" i="2"/>
  <c r="T248" i="2"/>
  <c r="T247" i="2"/>
  <c r="T246" i="2"/>
  <c r="T243" i="2"/>
  <c r="T241" i="2"/>
  <c r="T240" i="2"/>
  <c r="T239" i="2"/>
  <c r="T238" i="2"/>
  <c r="T236" i="2"/>
  <c r="T234" i="2"/>
  <c r="T233" i="2"/>
  <c r="T232" i="2"/>
  <c r="T231" i="2"/>
  <c r="U228" i="2"/>
  <c r="T228" i="2"/>
  <c r="U226" i="2"/>
  <c r="T225" i="2"/>
  <c r="T224" i="2"/>
  <c r="T223" i="2"/>
  <c r="T221" i="2"/>
  <c r="T220" i="2"/>
  <c r="T219" i="2"/>
  <c r="T217" i="2"/>
  <c r="T215" i="2"/>
  <c r="T214" i="2"/>
  <c r="T213" i="2"/>
  <c r="T211" i="2"/>
  <c r="T210" i="2"/>
  <c r="T209" i="2"/>
  <c r="T208" i="2"/>
  <c r="T207" i="2"/>
  <c r="T206" i="2"/>
  <c r="U205" i="2"/>
  <c r="T205" i="2"/>
  <c r="T203" i="2"/>
  <c r="T201" i="2"/>
  <c r="T199" i="2"/>
  <c r="T198" i="2"/>
  <c r="T196" i="2"/>
  <c r="T194" i="2"/>
  <c r="T192" i="2"/>
  <c r="T191" i="2"/>
  <c r="T190" i="2"/>
  <c r="T189" i="2"/>
  <c r="T188" i="2"/>
  <c r="T186" i="2"/>
  <c r="U185" i="2"/>
  <c r="T185" i="2"/>
  <c r="T183" i="2"/>
  <c r="T182" i="2"/>
  <c r="T178" i="2"/>
  <c r="T173" i="2"/>
  <c r="T170" i="2"/>
  <c r="T167" i="2"/>
  <c r="U166" i="2"/>
  <c r="T166" i="2"/>
  <c r="T163" i="2"/>
  <c r="T159" i="2"/>
  <c r="T154" i="2"/>
  <c r="T151" i="2"/>
  <c r="T148" i="2"/>
  <c r="U147" i="2"/>
  <c r="T145" i="2"/>
  <c r="T144" i="2"/>
  <c r="T138" i="2"/>
  <c r="T130" i="2"/>
  <c r="T127" i="2"/>
  <c r="U126" i="2"/>
  <c r="T126" i="2"/>
  <c r="U121" i="2"/>
  <c r="V121" i="2" s="1"/>
  <c r="T120" i="2"/>
  <c r="T114" i="2"/>
  <c r="T113" i="2"/>
  <c r="T112" i="2"/>
  <c r="T111" i="2"/>
  <c r="T108" i="2"/>
  <c r="T107" i="2"/>
  <c r="T106" i="2"/>
  <c r="T105" i="2"/>
  <c r="T104" i="2"/>
  <c r="T103" i="2"/>
  <c r="T102" i="2"/>
  <c r="T100" i="2"/>
  <c r="T97" i="2"/>
  <c r="T94" i="2"/>
  <c r="T90" i="2"/>
  <c r="T89" i="2"/>
  <c r="T88" i="2"/>
  <c r="T87" i="2"/>
  <c r="T86" i="2"/>
  <c r="T85" i="2"/>
  <c r="T83" i="2"/>
  <c r="T81" i="2"/>
  <c r="T80" i="2"/>
  <c r="T78" i="2"/>
  <c r="U76" i="2"/>
  <c r="V76" i="2" s="1"/>
  <c r="T75" i="2"/>
  <c r="T74" i="2"/>
  <c r="T73" i="2"/>
  <c r="T71" i="2"/>
  <c r="T68" i="2"/>
  <c r="T57" i="2"/>
  <c r="T53" i="2"/>
  <c r="T51" i="2"/>
  <c r="T46" i="2"/>
  <c r="T42" i="2"/>
  <c r="U39" i="2"/>
  <c r="T39" i="2"/>
  <c r="T147" i="2" s="1"/>
  <c r="T30" i="2"/>
  <c r="T27" i="2"/>
  <c r="T26" i="2"/>
  <c r="T25" i="2"/>
  <c r="T24" i="2"/>
  <c r="T23" i="2"/>
  <c r="T22" i="2"/>
  <c r="T21" i="2"/>
  <c r="T20" i="2"/>
  <c r="T19" i="2"/>
  <c r="T18" i="2"/>
  <c r="T17" i="2"/>
  <c r="T16" i="2"/>
  <c r="T15" i="2"/>
  <c r="T13" i="2"/>
  <c r="T8" i="2"/>
  <c r="T7" i="2"/>
  <c r="T6" i="2"/>
  <c r="T5" i="2"/>
  <c r="S20" i="1" l="1"/>
  <c r="V226" i="2"/>
  <c r="R264" i="2"/>
  <c r="P264" i="2"/>
  <c r="N264" i="2"/>
  <c r="L264" i="2"/>
  <c r="R263" i="2"/>
  <c r="P263" i="2"/>
  <c r="N263" i="2"/>
  <c r="L263" i="2"/>
  <c r="R262" i="2"/>
  <c r="P262" i="2"/>
  <c r="N262" i="2"/>
  <c r="L262" i="2"/>
  <c r="R261" i="2"/>
  <c r="P261" i="2"/>
  <c r="N261" i="2"/>
  <c r="L261" i="2"/>
  <c r="R260" i="2"/>
  <c r="P260" i="2"/>
  <c r="N260" i="2"/>
  <c r="L260" i="2"/>
  <c r="R258" i="2"/>
  <c r="P258" i="2"/>
  <c r="N258" i="2"/>
  <c r="L258" i="2"/>
  <c r="R257" i="2"/>
  <c r="P257" i="2"/>
  <c r="N257" i="2"/>
  <c r="L257" i="2"/>
  <c r="R256" i="2"/>
  <c r="P256" i="2"/>
  <c r="N256" i="2"/>
  <c r="L256" i="2"/>
  <c r="R255" i="2"/>
  <c r="P255" i="2"/>
  <c r="N255" i="2"/>
  <c r="L255" i="2"/>
  <c r="R252" i="2"/>
  <c r="P252" i="2"/>
  <c r="N252" i="2"/>
  <c r="L252" i="2"/>
  <c r="R251" i="2"/>
  <c r="P251" i="2"/>
  <c r="N251" i="2"/>
  <c r="L251" i="2"/>
  <c r="R250" i="2"/>
  <c r="P250" i="2"/>
  <c r="N250" i="2"/>
  <c r="L250" i="2"/>
  <c r="R249" i="2"/>
  <c r="P249" i="2"/>
  <c r="N249" i="2"/>
  <c r="L249" i="2"/>
  <c r="R248" i="2"/>
  <c r="P248" i="2"/>
  <c r="N248" i="2"/>
  <c r="L248" i="2"/>
  <c r="R247" i="2"/>
  <c r="P247" i="2"/>
  <c r="N247" i="2"/>
  <c r="L247" i="2"/>
  <c r="R246" i="2"/>
  <c r="P246" i="2"/>
  <c r="N246" i="2"/>
  <c r="L246" i="2"/>
  <c r="P245" i="2"/>
  <c r="N245" i="2"/>
  <c r="L245" i="2"/>
  <c r="R243" i="2"/>
  <c r="P243" i="2"/>
  <c r="N243" i="2"/>
  <c r="L243" i="2"/>
  <c r="R242" i="2"/>
  <c r="P242" i="2"/>
  <c r="N242" i="2"/>
  <c r="L242" i="2"/>
  <c r="R241" i="2"/>
  <c r="P241" i="2"/>
  <c r="N241" i="2"/>
  <c r="L241" i="2"/>
  <c r="R240" i="2"/>
  <c r="P240" i="2"/>
  <c r="N240" i="2"/>
  <c r="L240" i="2"/>
  <c r="R239" i="2"/>
  <c r="P239" i="2"/>
  <c r="N239" i="2"/>
  <c r="L239" i="2"/>
  <c r="R238" i="2"/>
  <c r="P238" i="2"/>
  <c r="N238" i="2"/>
  <c r="L238" i="2"/>
  <c r="R237" i="2"/>
  <c r="P237" i="2"/>
  <c r="N237" i="2"/>
  <c r="L237" i="2"/>
  <c r="R236" i="2"/>
  <c r="P236" i="2"/>
  <c r="N236" i="2"/>
  <c r="L236" i="2"/>
  <c r="R233" i="2"/>
  <c r="P233" i="2"/>
  <c r="N233" i="2"/>
  <c r="L233" i="2"/>
  <c r="R232" i="2"/>
  <c r="P232" i="2"/>
  <c r="N232" i="2"/>
  <c r="L232" i="2"/>
  <c r="R231" i="2"/>
  <c r="P231" i="2"/>
  <c r="N231" i="2"/>
  <c r="L231" i="2"/>
  <c r="S228" i="2"/>
  <c r="R228" i="2"/>
  <c r="Q228" i="2"/>
  <c r="P228" i="2"/>
  <c r="O228" i="2"/>
  <c r="N228" i="2"/>
  <c r="M228" i="2"/>
  <c r="L228" i="2"/>
  <c r="K228" i="2"/>
  <c r="S226" i="2"/>
  <c r="Q226" i="2"/>
  <c r="O226" i="2"/>
  <c r="M226" i="2"/>
  <c r="K226" i="2"/>
  <c r="R225" i="2"/>
  <c r="P225" i="2"/>
  <c r="N225" i="2"/>
  <c r="L225" i="2"/>
  <c r="R224" i="2"/>
  <c r="P224" i="2"/>
  <c r="N224" i="2"/>
  <c r="L224" i="2"/>
  <c r="R223" i="2"/>
  <c r="P223" i="2"/>
  <c r="N223" i="2"/>
  <c r="L223" i="2"/>
  <c r="R221" i="2"/>
  <c r="P221" i="2"/>
  <c r="N221" i="2"/>
  <c r="L221" i="2"/>
  <c r="R220" i="2"/>
  <c r="P220" i="2"/>
  <c r="N220" i="2"/>
  <c r="L220" i="2"/>
  <c r="R219" i="2"/>
  <c r="P219" i="2"/>
  <c r="N219" i="2"/>
  <c r="L219" i="2"/>
  <c r="R218" i="2"/>
  <c r="P218" i="2"/>
  <c r="N218" i="2"/>
  <c r="L218" i="2"/>
  <c r="R217" i="2"/>
  <c r="P217" i="2"/>
  <c r="N217" i="2"/>
  <c r="L217" i="2"/>
  <c r="R215" i="2"/>
  <c r="P215" i="2"/>
  <c r="N215" i="2"/>
  <c r="L215" i="2"/>
  <c r="R214" i="2"/>
  <c r="P214" i="2"/>
  <c r="N214" i="2"/>
  <c r="L214" i="2"/>
  <c r="R213" i="2"/>
  <c r="P213" i="2"/>
  <c r="N213" i="2"/>
  <c r="L213" i="2"/>
  <c r="R211" i="2"/>
  <c r="P211" i="2"/>
  <c r="N211" i="2"/>
  <c r="L211" i="2"/>
  <c r="R210" i="2"/>
  <c r="P210" i="2"/>
  <c r="N210" i="2"/>
  <c r="L210" i="2"/>
  <c r="R209" i="2"/>
  <c r="P209" i="2"/>
  <c r="N209" i="2"/>
  <c r="L209" i="2"/>
  <c r="R208" i="2"/>
  <c r="P208" i="2"/>
  <c r="N208" i="2"/>
  <c r="L208" i="2"/>
  <c r="R207" i="2"/>
  <c r="P207" i="2"/>
  <c r="N207" i="2"/>
  <c r="L207" i="2"/>
  <c r="R206" i="2"/>
  <c r="P206" i="2"/>
  <c r="N206" i="2"/>
  <c r="L206" i="2"/>
  <c r="S205" i="2"/>
  <c r="R205" i="2"/>
  <c r="Q205" i="2"/>
  <c r="P205" i="2"/>
  <c r="O205" i="2"/>
  <c r="N205" i="2"/>
  <c r="M205" i="2"/>
  <c r="L205" i="2"/>
  <c r="K205" i="2"/>
  <c r="K204" i="2"/>
  <c r="R203" i="2"/>
  <c r="P203" i="2"/>
  <c r="N203" i="2"/>
  <c r="L203" i="2"/>
  <c r="R201" i="2"/>
  <c r="P201" i="2"/>
  <c r="N201" i="2"/>
  <c r="L201" i="2"/>
  <c r="R199" i="2"/>
  <c r="P199" i="2"/>
  <c r="N199" i="2"/>
  <c r="L199" i="2"/>
  <c r="R198" i="2"/>
  <c r="P198" i="2"/>
  <c r="N198" i="2"/>
  <c r="L198" i="2"/>
  <c r="N197" i="2"/>
  <c r="L197" i="2"/>
  <c r="R196" i="2"/>
  <c r="P196" i="2"/>
  <c r="N196" i="2"/>
  <c r="L196" i="2"/>
  <c r="N195" i="2"/>
  <c r="L195" i="2"/>
  <c r="R194" i="2"/>
  <c r="P194" i="2"/>
  <c r="N194" i="2"/>
  <c r="L194" i="2"/>
  <c r="R192" i="2"/>
  <c r="P192" i="2"/>
  <c r="N192" i="2"/>
  <c r="L192" i="2"/>
  <c r="R191" i="2"/>
  <c r="P191" i="2"/>
  <c r="N191" i="2"/>
  <c r="L191" i="2"/>
  <c r="R190" i="2"/>
  <c r="P190" i="2"/>
  <c r="N190" i="2"/>
  <c r="L190" i="2"/>
  <c r="R189" i="2"/>
  <c r="P189" i="2"/>
  <c r="N189" i="2"/>
  <c r="L189" i="2"/>
  <c r="R188" i="2"/>
  <c r="P188" i="2"/>
  <c r="N188" i="2"/>
  <c r="L188" i="2"/>
  <c r="R186" i="2"/>
  <c r="P186" i="2"/>
  <c r="N186" i="2"/>
  <c r="L186" i="2"/>
  <c r="AD185" i="2"/>
  <c r="AD205" i="2" s="1"/>
  <c r="S185" i="2"/>
  <c r="R185" i="2"/>
  <c r="Q185" i="2"/>
  <c r="P185" i="2"/>
  <c r="O185" i="2"/>
  <c r="N185" i="2"/>
  <c r="M185" i="2"/>
  <c r="L185" i="2"/>
  <c r="K185" i="2"/>
  <c r="R183" i="2"/>
  <c r="P183" i="2"/>
  <c r="N183" i="2"/>
  <c r="L183" i="2"/>
  <c r="R182" i="2"/>
  <c r="P182" i="2"/>
  <c r="N182" i="2"/>
  <c r="L182" i="2"/>
  <c r="N181" i="2"/>
  <c r="L181" i="2"/>
  <c r="L180" i="2"/>
  <c r="L179" i="2"/>
  <c r="R178" i="2"/>
  <c r="P178" i="2"/>
  <c r="N178" i="2"/>
  <c r="L178" i="2"/>
  <c r="L177" i="2"/>
  <c r="N176" i="2"/>
  <c r="L176" i="2"/>
  <c r="L175" i="2"/>
  <c r="L174" i="2"/>
  <c r="P173" i="2"/>
  <c r="N173" i="2"/>
  <c r="L173" i="2"/>
  <c r="R170" i="2"/>
  <c r="P170" i="2"/>
  <c r="N170" i="2"/>
  <c r="L170" i="2"/>
  <c r="L169" i="2"/>
  <c r="R167" i="2"/>
  <c r="P167" i="2"/>
  <c r="N167" i="2"/>
  <c r="L167" i="2"/>
  <c r="AD166" i="2"/>
  <c r="S166" i="2"/>
  <c r="R166" i="2"/>
  <c r="Q166" i="2"/>
  <c r="P166" i="2"/>
  <c r="O166" i="2"/>
  <c r="N166" i="2"/>
  <c r="M166" i="2"/>
  <c r="L166" i="2"/>
  <c r="K166" i="2"/>
  <c r="R163" i="2"/>
  <c r="P163" i="2"/>
  <c r="N163" i="2"/>
  <c r="L163" i="2"/>
  <c r="N162" i="2"/>
  <c r="L162" i="2"/>
  <c r="L161" i="2"/>
  <c r="L160" i="2"/>
  <c r="R159" i="2"/>
  <c r="P159" i="2"/>
  <c r="N159" i="2"/>
  <c r="L159" i="2"/>
  <c r="L158" i="2"/>
  <c r="N157" i="2"/>
  <c r="L157" i="2"/>
  <c r="L156" i="2"/>
  <c r="N155" i="2"/>
  <c r="L155" i="2"/>
  <c r="N154" i="2"/>
  <c r="L154" i="2"/>
  <c r="L153" i="2"/>
  <c r="N152" i="2"/>
  <c r="R151" i="2"/>
  <c r="P151" i="2"/>
  <c r="N151" i="2"/>
  <c r="L151" i="2"/>
  <c r="N150" i="2"/>
  <c r="L150" i="2"/>
  <c r="P149" i="2"/>
  <c r="R148" i="2"/>
  <c r="P148" i="2"/>
  <c r="N148" i="2"/>
  <c r="L148" i="2"/>
  <c r="AD147" i="2"/>
  <c r="S147" i="2"/>
  <c r="Q147" i="2"/>
  <c r="O147" i="2"/>
  <c r="M147" i="2"/>
  <c r="K147" i="2"/>
  <c r="K146" i="2"/>
  <c r="R145" i="2"/>
  <c r="P145" i="2"/>
  <c r="N145" i="2"/>
  <c r="L145" i="2"/>
  <c r="R144" i="2"/>
  <c r="P144" i="2"/>
  <c r="N144" i="2"/>
  <c r="L144" i="2"/>
  <c r="N143" i="2"/>
  <c r="L143" i="2"/>
  <c r="L142" i="2"/>
  <c r="L141" i="2"/>
  <c r="N140" i="2"/>
  <c r="L140" i="2"/>
  <c r="N139" i="2"/>
  <c r="L139" i="2"/>
  <c r="R138" i="2"/>
  <c r="P138" i="2"/>
  <c r="N138" i="2"/>
  <c r="L138" i="2"/>
  <c r="N137" i="2"/>
  <c r="L137" i="2"/>
  <c r="L136" i="2"/>
  <c r="N135" i="2"/>
  <c r="L135" i="2"/>
  <c r="N133" i="2"/>
  <c r="L133" i="2"/>
  <c r="L132" i="2"/>
  <c r="L131" i="2"/>
  <c r="R130" i="2"/>
  <c r="P130" i="2"/>
  <c r="N130" i="2"/>
  <c r="L130" i="2"/>
  <c r="N129" i="2"/>
  <c r="L129" i="2"/>
  <c r="R127" i="2"/>
  <c r="P127" i="2"/>
  <c r="N127" i="2"/>
  <c r="L127" i="2"/>
  <c r="AD126" i="2"/>
  <c r="S126" i="2"/>
  <c r="R126" i="2"/>
  <c r="Q126" i="2"/>
  <c r="P126" i="2"/>
  <c r="O126" i="2"/>
  <c r="N126" i="2"/>
  <c r="M126" i="2"/>
  <c r="L126" i="2"/>
  <c r="K126" i="2"/>
  <c r="N124" i="2"/>
  <c r="L124" i="2"/>
  <c r="N122" i="2"/>
  <c r="L122" i="2"/>
  <c r="S121" i="2"/>
  <c r="T121" i="2" s="1"/>
  <c r="Q121" i="2"/>
  <c r="O121" i="2"/>
  <c r="K121" i="2"/>
  <c r="R120" i="2"/>
  <c r="P120" i="2"/>
  <c r="N120" i="2"/>
  <c r="L120" i="2"/>
  <c r="R114" i="2"/>
  <c r="P114" i="2"/>
  <c r="R113" i="2"/>
  <c r="P113" i="2"/>
  <c r="N113" i="2"/>
  <c r="L113" i="2"/>
  <c r="R112" i="2"/>
  <c r="P112" i="2"/>
  <c r="N112" i="2"/>
  <c r="L112" i="2"/>
  <c r="R111" i="2"/>
  <c r="P111" i="2"/>
  <c r="N111" i="2"/>
  <c r="L111" i="2"/>
  <c r="R108" i="2"/>
  <c r="P108" i="2"/>
  <c r="N108" i="2"/>
  <c r="L108" i="2"/>
  <c r="R107" i="2"/>
  <c r="P107" i="2"/>
  <c r="N107" i="2"/>
  <c r="L107" i="2"/>
  <c r="R106" i="2"/>
  <c r="P106" i="2"/>
  <c r="N106" i="2"/>
  <c r="L106" i="2"/>
  <c r="R105" i="2"/>
  <c r="P105" i="2"/>
  <c r="N105" i="2"/>
  <c r="L105" i="2"/>
  <c r="R104" i="2"/>
  <c r="P104" i="2"/>
  <c r="N104" i="2"/>
  <c r="L104" i="2"/>
  <c r="R103" i="2"/>
  <c r="P103" i="2"/>
  <c r="N103" i="2"/>
  <c r="L103" i="2"/>
  <c r="R102" i="2"/>
  <c r="P102" i="2"/>
  <c r="N102" i="2"/>
  <c r="L102" i="2"/>
  <c r="P101" i="2"/>
  <c r="N101" i="2"/>
  <c r="L101" i="2"/>
  <c r="R100" i="2"/>
  <c r="P100" i="2"/>
  <c r="N100" i="2"/>
  <c r="L100" i="2"/>
  <c r="N99" i="2"/>
  <c r="L99" i="2"/>
  <c r="R97" i="2"/>
  <c r="P97" i="2"/>
  <c r="N97" i="2"/>
  <c r="L97" i="2"/>
  <c r="N96" i="2"/>
  <c r="L96" i="2"/>
  <c r="N95" i="2"/>
  <c r="R94" i="2"/>
  <c r="M93" i="2"/>
  <c r="K93" i="2"/>
  <c r="N92" i="2"/>
  <c r="L92" i="2"/>
  <c r="R90" i="2"/>
  <c r="P90" i="2"/>
  <c r="N90" i="2"/>
  <c r="L90" i="2"/>
  <c r="R89" i="2"/>
  <c r="P89" i="2"/>
  <c r="N89" i="2"/>
  <c r="L89" i="2"/>
  <c r="R88" i="2"/>
  <c r="P88" i="2"/>
  <c r="N88" i="2"/>
  <c r="L88" i="2"/>
  <c r="R87" i="2"/>
  <c r="P87" i="2"/>
  <c r="N87" i="2"/>
  <c r="L87" i="2"/>
  <c r="R86" i="2"/>
  <c r="P86" i="2"/>
  <c r="N86" i="2"/>
  <c r="L86" i="2"/>
  <c r="R85" i="2"/>
  <c r="P85" i="2"/>
  <c r="N85" i="2"/>
  <c r="L85" i="2"/>
  <c r="P84" i="2"/>
  <c r="N84" i="2"/>
  <c r="L84" i="2"/>
  <c r="R83" i="2"/>
  <c r="P83" i="2"/>
  <c r="N83" i="2"/>
  <c r="L83" i="2"/>
  <c r="N82" i="2"/>
  <c r="L82" i="2"/>
  <c r="R81" i="2"/>
  <c r="P81" i="2"/>
  <c r="N81" i="2"/>
  <c r="L81" i="2"/>
  <c r="R80" i="2"/>
  <c r="P80" i="2"/>
  <c r="N80" i="2"/>
  <c r="L80" i="2"/>
  <c r="K79" i="2"/>
  <c r="R78" i="2"/>
  <c r="P78" i="2"/>
  <c r="N78" i="2"/>
  <c r="L78" i="2"/>
  <c r="N77" i="2"/>
  <c r="L77" i="2"/>
  <c r="S76" i="2"/>
  <c r="T76" i="2" s="1"/>
  <c r="Q76" i="2"/>
  <c r="O76" i="2"/>
  <c r="M76" i="2"/>
  <c r="K76" i="2"/>
  <c r="R75" i="2"/>
  <c r="P75" i="2"/>
  <c r="L75" i="2"/>
  <c r="R74" i="2"/>
  <c r="P74" i="2"/>
  <c r="L74" i="2"/>
  <c r="R73" i="2"/>
  <c r="P73" i="2"/>
  <c r="L73" i="2"/>
  <c r="N72" i="2"/>
  <c r="L72" i="2"/>
  <c r="R71" i="2"/>
  <c r="P71" i="2"/>
  <c r="N71" i="2"/>
  <c r="L71" i="2"/>
  <c r="L69" i="2"/>
  <c r="R68" i="2"/>
  <c r="P68" i="2"/>
  <c r="N68" i="2"/>
  <c r="L68" i="2"/>
  <c r="L67" i="2"/>
  <c r="N66" i="2"/>
  <c r="L66" i="2"/>
  <c r="P65" i="2"/>
  <c r="N65" i="2"/>
  <c r="L65" i="2"/>
  <c r="N64" i="2"/>
  <c r="L64" i="2"/>
  <c r="L63" i="2"/>
  <c r="L62" i="2"/>
  <c r="L61" i="2"/>
  <c r="R60" i="2"/>
  <c r="P60" i="2"/>
  <c r="N60" i="2"/>
  <c r="L60" i="2"/>
  <c r="M59" i="2"/>
  <c r="M58" i="2"/>
  <c r="R57" i="2"/>
  <c r="P57" i="2"/>
  <c r="N57" i="2"/>
  <c r="L57" i="2"/>
  <c r="R56" i="2"/>
  <c r="P56" i="2"/>
  <c r="N56" i="2"/>
  <c r="L56" i="2"/>
  <c r="N55" i="2"/>
  <c r="L55" i="2"/>
  <c r="L54" i="2"/>
  <c r="R53" i="2"/>
  <c r="P53" i="2"/>
  <c r="N53" i="2"/>
  <c r="L53" i="2"/>
  <c r="L52" i="2"/>
  <c r="R51" i="2"/>
  <c r="P51" i="2"/>
  <c r="N51" i="2"/>
  <c r="L51" i="2"/>
  <c r="L50" i="2"/>
  <c r="N49" i="2"/>
  <c r="L49" i="2"/>
  <c r="Q48" i="2"/>
  <c r="S48" i="2" s="1"/>
  <c r="N48" i="2"/>
  <c r="L48" i="2"/>
  <c r="L47" i="2"/>
  <c r="R46" i="2"/>
  <c r="P46" i="2"/>
  <c r="N46" i="2"/>
  <c r="L46" i="2"/>
  <c r="R42" i="2"/>
  <c r="P42" i="2"/>
  <c r="N42" i="2"/>
  <c r="L42" i="2"/>
  <c r="AD39" i="2"/>
  <c r="S39" i="2"/>
  <c r="R39" i="2"/>
  <c r="R147" i="2" s="1"/>
  <c r="Q39" i="2"/>
  <c r="P39" i="2"/>
  <c r="P147" i="2" s="1"/>
  <c r="O39" i="2"/>
  <c r="N39" i="2"/>
  <c r="N147" i="2" s="1"/>
  <c r="M39" i="2"/>
  <c r="L39" i="2"/>
  <c r="L147" i="2" s="1"/>
  <c r="K39" i="2"/>
  <c r="O37" i="2"/>
  <c r="M37" i="2"/>
  <c r="K37" i="2"/>
  <c r="R30" i="2"/>
  <c r="P30" i="2"/>
  <c r="N30" i="2"/>
  <c r="L30" i="2"/>
  <c r="R27" i="2"/>
  <c r="P27" i="2"/>
  <c r="N27" i="2"/>
  <c r="L27" i="2"/>
  <c r="R26" i="2"/>
  <c r="P26" i="2"/>
  <c r="N26" i="2"/>
  <c r="L26" i="2"/>
  <c r="R25" i="2"/>
  <c r="P25" i="2"/>
  <c r="N25" i="2"/>
  <c r="L25" i="2"/>
  <c r="R24" i="2"/>
  <c r="P24" i="2"/>
  <c r="N24" i="2"/>
  <c r="L24" i="2"/>
  <c r="R23" i="2"/>
  <c r="P23" i="2"/>
  <c r="N23" i="2"/>
  <c r="L23" i="2"/>
  <c r="R22" i="2"/>
  <c r="P22" i="2"/>
  <c r="N22" i="2"/>
  <c r="L22" i="2"/>
  <c r="R21" i="2"/>
  <c r="P21" i="2"/>
  <c r="N21" i="2"/>
  <c r="L21" i="2"/>
  <c r="R20" i="2"/>
  <c r="P20" i="2"/>
  <c r="N20" i="2"/>
  <c r="L20" i="2"/>
  <c r="R19" i="2"/>
  <c r="P19" i="2"/>
  <c r="N19" i="2"/>
  <c r="L19" i="2"/>
  <c r="R18" i="2"/>
  <c r="P18" i="2"/>
  <c r="N18" i="2"/>
  <c r="L18" i="2"/>
  <c r="R17" i="2"/>
  <c r="P17" i="2"/>
  <c r="N17" i="2"/>
  <c r="L17" i="2"/>
  <c r="R16" i="2"/>
  <c r="P16" i="2"/>
  <c r="N16" i="2"/>
  <c r="L16" i="2"/>
  <c r="R15" i="2"/>
  <c r="P15" i="2"/>
  <c r="N15" i="2"/>
  <c r="L15" i="2"/>
  <c r="R13" i="2"/>
  <c r="P13" i="2"/>
  <c r="N13" i="2"/>
  <c r="L13" i="2"/>
  <c r="R8" i="2"/>
  <c r="P8" i="2"/>
  <c r="N8" i="2"/>
  <c r="L8" i="2"/>
  <c r="R7" i="2"/>
  <c r="P7" i="2"/>
  <c r="N7" i="2"/>
  <c r="L7" i="2"/>
  <c r="R6" i="2"/>
  <c r="P6" i="2"/>
  <c r="N6" i="2"/>
  <c r="L6" i="2"/>
  <c r="R5" i="2"/>
  <c r="P5" i="2"/>
  <c r="N5" i="2"/>
  <c r="L5" i="2"/>
  <c r="U265" i="2" l="1"/>
  <c r="T226" i="2"/>
  <c r="T132" i="2"/>
  <c r="T171" i="2"/>
  <c r="T172" i="2"/>
  <c r="T195" i="2"/>
  <c r="Y195" i="2"/>
  <c r="AA195" i="2" s="1"/>
  <c r="AC195" i="2" s="1"/>
  <c r="N131" i="2"/>
  <c r="P180" i="2"/>
  <c r="R48" i="2"/>
  <c r="U48" i="2"/>
  <c r="R142" i="2"/>
  <c r="R180" i="2"/>
  <c r="R63" i="2"/>
  <c r="R133" i="2"/>
  <c r="R156" i="2"/>
  <c r="R158" i="2"/>
  <c r="R161" i="2"/>
  <c r="R54" i="2"/>
  <c r="R134" i="2"/>
  <c r="R136" i="2"/>
  <c r="N149" i="2"/>
  <c r="N180" i="2"/>
  <c r="P157" i="2"/>
  <c r="N172" i="2"/>
  <c r="L93" i="2"/>
  <c r="N158" i="2"/>
  <c r="P82" i="2"/>
  <c r="P143" i="2"/>
  <c r="P150" i="2"/>
  <c r="P55" i="2"/>
  <c r="P77" i="2"/>
  <c r="P96" i="2"/>
  <c r="N132" i="2"/>
  <c r="N134" i="2"/>
  <c r="P155" i="2"/>
  <c r="N67" i="2"/>
  <c r="L149" i="2"/>
  <c r="L172" i="2"/>
  <c r="N54" i="2"/>
  <c r="N61" i="2"/>
  <c r="L95" i="2"/>
  <c r="M146" i="2"/>
  <c r="L146" i="2" s="1"/>
  <c r="L134" i="2"/>
  <c r="R61" i="2"/>
  <c r="P61" i="2"/>
  <c r="P67" i="2"/>
  <c r="N47" i="2"/>
  <c r="P48" i="2"/>
  <c r="O93" i="2"/>
  <c r="N93" i="2" s="1"/>
  <c r="N121" i="2"/>
  <c r="P134" i="2"/>
  <c r="P135" i="2"/>
  <c r="P142" i="2"/>
  <c r="N156" i="2"/>
  <c r="N161" i="2"/>
  <c r="P162" i="2"/>
  <c r="N169" i="2"/>
  <c r="N171" i="2"/>
  <c r="R173" i="2"/>
  <c r="P181" i="2"/>
  <c r="N50" i="2"/>
  <c r="N63" i="2"/>
  <c r="P64" i="2"/>
  <c r="L121" i="2"/>
  <c r="R121" i="2"/>
  <c r="L128" i="2"/>
  <c r="P133" i="2"/>
  <c r="N136" i="2"/>
  <c r="N142" i="2"/>
  <c r="P156" i="2"/>
  <c r="L171" i="2"/>
  <c r="N174" i="2"/>
  <c r="N177" i="2"/>
  <c r="L34" i="2"/>
  <c r="N34" i="2"/>
  <c r="P50" i="2"/>
  <c r="P54" i="2"/>
  <c r="L58" i="2"/>
  <c r="O58" i="2"/>
  <c r="P63" i="2"/>
  <c r="N76" i="2"/>
  <c r="P95" i="2"/>
  <c r="L37" i="2"/>
  <c r="N37" i="2"/>
  <c r="L45" i="2"/>
  <c r="P47" i="2"/>
  <c r="P76" i="2"/>
  <c r="L79" i="2"/>
  <c r="O79" i="2"/>
  <c r="L59" i="2"/>
  <c r="O59" i="2"/>
  <c r="P66" i="2"/>
  <c r="N69" i="2"/>
  <c r="R76" i="2"/>
  <c r="N52" i="2"/>
  <c r="N62" i="2"/>
  <c r="L76" i="2"/>
  <c r="P154" i="2"/>
  <c r="R154" i="2"/>
  <c r="N160" i="2"/>
  <c r="P226" i="2"/>
  <c r="P121" i="2"/>
  <c r="P136" i="2"/>
  <c r="P158" i="2"/>
  <c r="P161" i="2"/>
  <c r="P174" i="2"/>
  <c r="R195" i="2"/>
  <c r="L200" i="2"/>
  <c r="M204" i="2"/>
  <c r="L204" i="2" s="1"/>
  <c r="P169" i="2"/>
  <c r="P197" i="2"/>
  <c r="P132" i="2"/>
  <c r="W149" i="2"/>
  <c r="Y149" i="2" s="1"/>
  <c r="AA149" i="2" s="1"/>
  <c r="AC149" i="2" s="1"/>
  <c r="L152" i="2"/>
  <c r="N179" i="2"/>
  <c r="L226" i="2"/>
  <c r="L168" i="2"/>
  <c r="N175" i="2"/>
  <c r="P171" i="2"/>
  <c r="R171" i="2"/>
  <c r="P172" i="2"/>
  <c r="R172" i="2"/>
  <c r="P177" i="2"/>
  <c r="L202" i="2"/>
  <c r="P195" i="2"/>
  <c r="N226" i="2"/>
  <c r="R226" i="2"/>
  <c r="AB195" i="2" l="1"/>
  <c r="AB149" i="2"/>
  <c r="Z195" i="2"/>
  <c r="Z149" i="2"/>
  <c r="S265" i="2"/>
  <c r="U267" i="2" s="1"/>
  <c r="S22" i="1" s="1"/>
  <c r="W267" i="2"/>
  <c r="T22" i="1" s="1"/>
  <c r="V265" i="2"/>
  <c r="Q265" i="2"/>
  <c r="K265" i="2"/>
  <c r="M265" i="2"/>
  <c r="V171" i="2"/>
  <c r="X171" i="2"/>
  <c r="X149" i="2"/>
  <c r="X195" i="2"/>
  <c r="X92" i="2"/>
  <c r="Y93" i="2"/>
  <c r="Z93" i="2" s="1"/>
  <c r="V172" i="2"/>
  <c r="V132" i="2"/>
  <c r="X132" i="2"/>
  <c r="R7" i="1"/>
  <c r="R150" i="2"/>
  <c r="Z152" i="2"/>
  <c r="T152" i="2"/>
  <c r="O265" i="2"/>
  <c r="R155" i="2"/>
  <c r="U10" i="2"/>
  <c r="S34" i="2"/>
  <c r="T136" i="2"/>
  <c r="W136" i="2"/>
  <c r="T54" i="2"/>
  <c r="T158" i="2"/>
  <c r="T133" i="2"/>
  <c r="T180" i="2"/>
  <c r="V180" i="2"/>
  <c r="T48" i="2"/>
  <c r="W48" i="2"/>
  <c r="V149" i="2"/>
  <c r="V92" i="2"/>
  <c r="W93" i="2"/>
  <c r="T134" i="2"/>
  <c r="W134" i="2"/>
  <c r="V195" i="2"/>
  <c r="T161" i="2"/>
  <c r="W161" i="2"/>
  <c r="T156" i="2"/>
  <c r="T63" i="2"/>
  <c r="T142" i="2"/>
  <c r="R77" i="2"/>
  <c r="R143" i="2"/>
  <c r="R67" i="2"/>
  <c r="T149" i="2"/>
  <c r="R174" i="2"/>
  <c r="W176" i="2"/>
  <c r="R66" i="2"/>
  <c r="R12" i="2"/>
  <c r="U12" i="2"/>
  <c r="R84" i="2"/>
  <c r="R11" i="2"/>
  <c r="U11" i="2"/>
  <c r="R132" i="2"/>
  <c r="R197" i="2"/>
  <c r="R50" i="2"/>
  <c r="R65" i="2"/>
  <c r="R177" i="2"/>
  <c r="R95" i="2"/>
  <c r="T92" i="2"/>
  <c r="U93" i="2"/>
  <c r="R169" i="2"/>
  <c r="P152" i="2"/>
  <c r="R49" i="2"/>
  <c r="R47" i="2"/>
  <c r="Q93" i="2"/>
  <c r="P93" i="2" s="1"/>
  <c r="P92" i="2"/>
  <c r="P139" i="2"/>
  <c r="N153" i="2"/>
  <c r="P49" i="2"/>
  <c r="P140" i="2"/>
  <c r="O146" i="2"/>
  <c r="N146" i="2" s="1"/>
  <c r="N128" i="2"/>
  <c r="N168" i="2"/>
  <c r="N202" i="2"/>
  <c r="P175" i="2"/>
  <c r="P99" i="2"/>
  <c r="P137" i="2"/>
  <c r="P129" i="2"/>
  <c r="P160" i="2"/>
  <c r="P69" i="2"/>
  <c r="N59" i="2"/>
  <c r="Q59" i="2"/>
  <c r="N79" i="2"/>
  <c r="Q79" i="2"/>
  <c r="N45" i="2"/>
  <c r="N58" i="2"/>
  <c r="Q58" i="2"/>
  <c r="N141" i="2"/>
  <c r="P124" i="2"/>
  <c r="S93" i="2"/>
  <c r="R92" i="2"/>
  <c r="Q37" i="2"/>
  <c r="P37" i="2" s="1"/>
  <c r="P34" i="2"/>
  <c r="P122" i="2"/>
  <c r="R10" i="2"/>
  <c r="P179" i="2"/>
  <c r="R149" i="2"/>
  <c r="O204" i="2"/>
  <c r="N200" i="2"/>
  <c r="P72" i="2"/>
  <c r="P62" i="2"/>
  <c r="P52" i="2"/>
  <c r="M267" i="2" l="1"/>
  <c r="L265" i="2"/>
  <c r="R265" i="2"/>
  <c r="T265" i="2"/>
  <c r="O267" i="2"/>
  <c r="S267" i="2"/>
  <c r="R22" i="1" s="1"/>
  <c r="V134" i="2"/>
  <c r="Y134" i="2"/>
  <c r="V161" i="2"/>
  <c r="Y161" i="2"/>
  <c r="V48" i="2"/>
  <c r="Y48" i="2"/>
  <c r="V133" i="2"/>
  <c r="X133" i="2"/>
  <c r="V54" i="2"/>
  <c r="X54" i="2"/>
  <c r="V152" i="2"/>
  <c r="X152" i="2"/>
  <c r="V197" i="2"/>
  <c r="V63" i="2"/>
  <c r="X63" i="2"/>
  <c r="X93" i="2"/>
  <c r="V47" i="2"/>
  <c r="Y47" i="2"/>
  <c r="V142" i="2"/>
  <c r="Y142" i="2"/>
  <c r="V156" i="2"/>
  <c r="Y156" i="2"/>
  <c r="V158" i="2"/>
  <c r="Y158" i="2"/>
  <c r="V136" i="2"/>
  <c r="Y136" i="2"/>
  <c r="T10" i="2"/>
  <c r="S7" i="1"/>
  <c r="T150" i="2"/>
  <c r="T153" i="2"/>
  <c r="W155" i="2"/>
  <c r="N265" i="2"/>
  <c r="Q267" i="2"/>
  <c r="P265" i="2"/>
  <c r="W10" i="2"/>
  <c r="Y10" i="2" s="1"/>
  <c r="AA10" i="2" s="1"/>
  <c r="AC10" i="2" s="1"/>
  <c r="U34" i="2"/>
  <c r="T49" i="2"/>
  <c r="W49" i="2"/>
  <c r="T177" i="2"/>
  <c r="T50" i="2"/>
  <c r="T101" i="2"/>
  <c r="T67" i="2"/>
  <c r="T131" i="2"/>
  <c r="V93" i="2"/>
  <c r="T11" i="2"/>
  <c r="W11" i="2"/>
  <c r="Y11" i="2" s="1"/>
  <c r="T12" i="2"/>
  <c r="W12" i="2"/>
  <c r="T174" i="2"/>
  <c r="W174" i="2"/>
  <c r="T162" i="2"/>
  <c r="T169" i="2"/>
  <c r="W169" i="2"/>
  <c r="T95" i="2"/>
  <c r="W95" i="2"/>
  <c r="T65" i="2"/>
  <c r="T176" i="2"/>
  <c r="T61" i="2"/>
  <c r="T84" i="2"/>
  <c r="W84" i="2"/>
  <c r="T66" i="2"/>
  <c r="Y66" i="2"/>
  <c r="P131" i="2"/>
  <c r="R131" i="2"/>
  <c r="R162" i="2"/>
  <c r="R152" i="2"/>
  <c r="R122" i="2"/>
  <c r="R139" i="2"/>
  <c r="R55" i="2"/>
  <c r="R62" i="2"/>
  <c r="R129" i="2"/>
  <c r="R99" i="2"/>
  <c r="R96" i="2"/>
  <c r="T96" i="2"/>
  <c r="T93" i="2"/>
  <c r="R135" i="2"/>
  <c r="R64" i="2"/>
  <c r="R82" i="2"/>
  <c r="R72" i="2"/>
  <c r="R140" i="2"/>
  <c r="R69" i="2"/>
  <c r="T197" i="2"/>
  <c r="R52" i="2"/>
  <c r="U52" i="2"/>
  <c r="R179" i="2"/>
  <c r="R160" i="2"/>
  <c r="R137" i="2"/>
  <c r="R175" i="2"/>
  <c r="R181" i="2"/>
  <c r="R157" i="2"/>
  <c r="T47" i="2"/>
  <c r="P153" i="2"/>
  <c r="R153" i="2"/>
  <c r="R34" i="2"/>
  <c r="S37" i="2"/>
  <c r="R37" i="2" s="1"/>
  <c r="P58" i="2"/>
  <c r="S58" i="2"/>
  <c r="P79" i="2"/>
  <c r="S79" i="2"/>
  <c r="P202" i="2"/>
  <c r="N204" i="2"/>
  <c r="P141" i="2"/>
  <c r="P45" i="2"/>
  <c r="P59" i="2"/>
  <c r="S59" i="2"/>
  <c r="P168" i="2"/>
  <c r="W168" i="2"/>
  <c r="Y168" i="2" s="1"/>
  <c r="AA168" i="2" s="1"/>
  <c r="AC168" i="2" s="1"/>
  <c r="Q146" i="2"/>
  <c r="P146" i="2" s="1"/>
  <c r="W128" i="2"/>
  <c r="Y128" i="2" s="1"/>
  <c r="AA128" i="2" s="1"/>
  <c r="AC128" i="2" s="1"/>
  <c r="P128" i="2"/>
  <c r="P200" i="2"/>
  <c r="Q204" i="2"/>
  <c r="R93" i="2"/>
  <c r="AB10" i="2" l="1"/>
  <c r="AB168" i="2"/>
  <c r="AB128" i="2"/>
  <c r="X134" i="2"/>
  <c r="AA134" i="2"/>
  <c r="X156" i="2"/>
  <c r="AA156" i="2"/>
  <c r="X161" i="2"/>
  <c r="AA161" i="2"/>
  <c r="Z197" i="2"/>
  <c r="X11" i="2"/>
  <c r="AA11" i="2"/>
  <c r="X158" i="2"/>
  <c r="AA158" i="2"/>
  <c r="X136" i="2"/>
  <c r="AA136" i="2"/>
  <c r="X142" i="2"/>
  <c r="AA142" i="2"/>
  <c r="Z168" i="2"/>
  <c r="X48" i="2"/>
  <c r="AA48" i="2"/>
  <c r="Z10" i="2"/>
  <c r="Z128" i="2"/>
  <c r="X47" i="2"/>
  <c r="AA47" i="2"/>
  <c r="X99" i="2"/>
  <c r="V176" i="2"/>
  <c r="Y176" i="2"/>
  <c r="V162" i="2"/>
  <c r="Y162" i="2"/>
  <c r="X128" i="2"/>
  <c r="V131" i="2"/>
  <c r="V101" i="2"/>
  <c r="X101" i="2"/>
  <c r="V177" i="2"/>
  <c r="Y177" i="2"/>
  <c r="V84" i="2"/>
  <c r="Y84" i="2"/>
  <c r="V95" i="2"/>
  <c r="Y95" i="2"/>
  <c r="V12" i="2"/>
  <c r="Y12" i="2"/>
  <c r="V66" i="2"/>
  <c r="V61" i="2"/>
  <c r="X61" i="2"/>
  <c r="V65" i="2"/>
  <c r="X65" i="2"/>
  <c r="V169" i="2"/>
  <c r="Y169" i="2"/>
  <c r="V174" i="2"/>
  <c r="Y174" i="2"/>
  <c r="X10" i="2"/>
  <c r="V155" i="2"/>
  <c r="Y155" i="2"/>
  <c r="X197" i="2"/>
  <c r="X168" i="2"/>
  <c r="V67" i="2"/>
  <c r="X67" i="2"/>
  <c r="V50" i="2"/>
  <c r="Y50" i="2"/>
  <c r="V49" i="2"/>
  <c r="Y49" i="2"/>
  <c r="T7" i="1"/>
  <c r="W150" i="2"/>
  <c r="Y150" i="2" s="1"/>
  <c r="AA150" i="2" s="1"/>
  <c r="AC150" i="2" s="1"/>
  <c r="T155" i="2"/>
  <c r="W34" i="2"/>
  <c r="V10" i="2"/>
  <c r="V99" i="2"/>
  <c r="S9" i="1"/>
  <c r="T62" i="2"/>
  <c r="T139" i="2"/>
  <c r="W139" i="2"/>
  <c r="T143" i="2"/>
  <c r="W143" i="2"/>
  <c r="T181" i="2"/>
  <c r="T64" i="2"/>
  <c r="V11" i="2"/>
  <c r="V128" i="2"/>
  <c r="T179" i="2"/>
  <c r="W179" i="2"/>
  <c r="T72" i="2"/>
  <c r="T200" i="2"/>
  <c r="W200" i="2"/>
  <c r="Y200" i="2" s="1"/>
  <c r="T129" i="2"/>
  <c r="T55" i="2"/>
  <c r="V55" i="2"/>
  <c r="T122" i="2"/>
  <c r="T137" i="2"/>
  <c r="T69" i="2"/>
  <c r="W69" i="2"/>
  <c r="V168" i="2"/>
  <c r="T157" i="2"/>
  <c r="T175" i="2"/>
  <c r="T160" i="2"/>
  <c r="W160" i="2"/>
  <c r="T52" i="2"/>
  <c r="W52" i="2"/>
  <c r="T140" i="2"/>
  <c r="W140" i="2"/>
  <c r="T82" i="2"/>
  <c r="T135" i="2"/>
  <c r="T77" i="2"/>
  <c r="W77" i="2"/>
  <c r="T168" i="2"/>
  <c r="R58" i="2"/>
  <c r="U58" i="2"/>
  <c r="R45" i="2"/>
  <c r="W45" i="2"/>
  <c r="Y45" i="2" s="1"/>
  <c r="AA45" i="2" s="1"/>
  <c r="AC45" i="2" s="1"/>
  <c r="R202" i="2"/>
  <c r="T128" i="2"/>
  <c r="R59" i="2"/>
  <c r="U59" i="2"/>
  <c r="R141" i="2"/>
  <c r="T34" i="2"/>
  <c r="U37" i="2"/>
  <c r="T37" i="2" s="1"/>
  <c r="T99" i="2"/>
  <c r="R79" i="2"/>
  <c r="U79" i="2"/>
  <c r="P204" i="2"/>
  <c r="S146" i="2"/>
  <c r="R128" i="2"/>
  <c r="R168" i="2"/>
  <c r="R200" i="2"/>
  <c r="S204" i="2"/>
  <c r="Z48" i="2" l="1"/>
  <c r="AC48" i="2"/>
  <c r="AB48" i="2" s="1"/>
  <c r="Z158" i="2"/>
  <c r="AC158" i="2"/>
  <c r="AB158" i="2" s="1"/>
  <c r="Z11" i="2"/>
  <c r="AC11" i="2"/>
  <c r="AC161" i="2"/>
  <c r="AB161" i="2" s="1"/>
  <c r="Z142" i="2"/>
  <c r="AC142" i="2"/>
  <c r="AB142" i="2" s="1"/>
  <c r="AB150" i="2"/>
  <c r="Z156" i="2"/>
  <c r="AC156" i="2"/>
  <c r="AB156" i="2" s="1"/>
  <c r="Z134" i="2"/>
  <c r="AC134" i="2"/>
  <c r="AB134" i="2" s="1"/>
  <c r="Z136" i="2"/>
  <c r="AC136" i="2"/>
  <c r="AB136" i="2" s="1"/>
  <c r="Z131" i="2"/>
  <c r="AC131" i="2"/>
  <c r="AB131" i="2" s="1"/>
  <c r="AB45" i="2"/>
  <c r="Z47" i="2"/>
  <c r="AC47" i="2"/>
  <c r="AB47" i="2" s="1"/>
  <c r="X131" i="2"/>
  <c r="X12" i="2"/>
  <c r="AA12" i="2"/>
  <c r="X155" i="2"/>
  <c r="AA155" i="2"/>
  <c r="X176" i="2"/>
  <c r="AA176" i="2"/>
  <c r="X174" i="2"/>
  <c r="AA174" i="2"/>
  <c r="X49" i="2"/>
  <c r="AA49" i="2"/>
  <c r="X162" i="2"/>
  <c r="AA162" i="2"/>
  <c r="X95" i="2"/>
  <c r="AA95" i="2"/>
  <c r="X84" i="2"/>
  <c r="AA84" i="2"/>
  <c r="X50" i="2"/>
  <c r="AA50" i="2"/>
  <c r="Z45" i="2"/>
  <c r="X169" i="2"/>
  <c r="AA169" i="2"/>
  <c r="AC169" i="2" s="1"/>
  <c r="X177" i="2"/>
  <c r="AA177" i="2"/>
  <c r="X66" i="2"/>
  <c r="AA66" i="2"/>
  <c r="Z150" i="2"/>
  <c r="X200" i="2"/>
  <c r="AA200" i="2"/>
  <c r="AC200" i="2" s="1"/>
  <c r="V150" i="2"/>
  <c r="U7" i="1"/>
  <c r="T9" i="1"/>
  <c r="V140" i="2"/>
  <c r="Y140" i="2"/>
  <c r="V157" i="2"/>
  <c r="Y157" i="2"/>
  <c r="V122" i="2"/>
  <c r="Y122" i="2"/>
  <c r="V72" i="2"/>
  <c r="Y72" i="2"/>
  <c r="X45" i="2"/>
  <c r="V137" i="2"/>
  <c r="Y137" i="2"/>
  <c r="Y34" i="2"/>
  <c r="V69" i="2"/>
  <c r="Y69" i="2"/>
  <c r="V135" i="2"/>
  <c r="Y135" i="2"/>
  <c r="V160" i="2"/>
  <c r="Y160" i="2"/>
  <c r="V129" i="2"/>
  <c r="Y129" i="2"/>
  <c r="AA129" i="2" s="1"/>
  <c r="AC129" i="2" s="1"/>
  <c r="V181" i="2"/>
  <c r="Y181" i="2"/>
  <c r="V139" i="2"/>
  <c r="Y139" i="2"/>
  <c r="V77" i="2"/>
  <c r="Y77" i="2"/>
  <c r="V82" i="2"/>
  <c r="Y82" i="2"/>
  <c r="V52" i="2"/>
  <c r="Y52" i="2"/>
  <c r="V175" i="2"/>
  <c r="Y175" i="2"/>
  <c r="V179" i="2"/>
  <c r="Y179" i="2"/>
  <c r="V64" i="2"/>
  <c r="Y64" i="2"/>
  <c r="V143" i="2"/>
  <c r="Y143" i="2"/>
  <c r="V62" i="2"/>
  <c r="X150" i="2"/>
  <c r="T141" i="2"/>
  <c r="W141" i="2"/>
  <c r="T202" i="2"/>
  <c r="W202" i="2"/>
  <c r="T58" i="2"/>
  <c r="W58" i="2"/>
  <c r="T79" i="2"/>
  <c r="W79" i="2"/>
  <c r="V200" i="2"/>
  <c r="W37" i="2"/>
  <c r="V37" i="2" s="1"/>
  <c r="V34" i="2"/>
  <c r="T59" i="2"/>
  <c r="W59" i="2"/>
  <c r="V45" i="2"/>
  <c r="U204" i="2"/>
  <c r="U146" i="2"/>
  <c r="S15" i="1" s="1"/>
  <c r="T45" i="2"/>
  <c r="R146" i="2"/>
  <c r="R204" i="2"/>
  <c r="AB129" i="2" l="1"/>
  <c r="Z12" i="2"/>
  <c r="AC12" i="2"/>
  <c r="AB12" i="2" s="1"/>
  <c r="Z66" i="2"/>
  <c r="AC66" i="2"/>
  <c r="AB66" i="2" s="1"/>
  <c r="Z95" i="2"/>
  <c r="AC95" i="2"/>
  <c r="AB95" i="2" s="1"/>
  <c r="Z162" i="2"/>
  <c r="AC162" i="2"/>
  <c r="AB162" i="2" s="1"/>
  <c r="AB200" i="2"/>
  <c r="Z177" i="2"/>
  <c r="AC177" i="2"/>
  <c r="AB177" i="2" s="1"/>
  <c r="AB11" i="2"/>
  <c r="AC34" i="2"/>
  <c r="Z174" i="2"/>
  <c r="AC174" i="2"/>
  <c r="AB174" i="2" s="1"/>
  <c r="Z176" i="2"/>
  <c r="AC176" i="2"/>
  <c r="AB176" i="2" s="1"/>
  <c r="AB169" i="2"/>
  <c r="Z50" i="2"/>
  <c r="AC50" i="2"/>
  <c r="AB50" i="2" s="1"/>
  <c r="Z84" i="2"/>
  <c r="AC84" i="2"/>
  <c r="AB84" i="2" s="1"/>
  <c r="Z49" i="2"/>
  <c r="AC49" i="2"/>
  <c r="AB49" i="2" s="1"/>
  <c r="Z155" i="2"/>
  <c r="AC155" i="2"/>
  <c r="V7" i="1"/>
  <c r="U9" i="1"/>
  <c r="X64" i="2"/>
  <c r="AA64" i="2"/>
  <c r="X139" i="2"/>
  <c r="AA139" i="2"/>
  <c r="X72" i="2"/>
  <c r="AA72" i="2"/>
  <c r="X160" i="2"/>
  <c r="AA160" i="2"/>
  <c r="Z129" i="2"/>
  <c r="Z200" i="2"/>
  <c r="X181" i="2"/>
  <c r="AA181" i="2"/>
  <c r="X52" i="2"/>
  <c r="AA52" i="2"/>
  <c r="X122" i="2"/>
  <c r="AA122" i="2"/>
  <c r="X135" i="2"/>
  <c r="AA135" i="2"/>
  <c r="X179" i="2"/>
  <c r="AA179" i="2"/>
  <c r="X175" i="2"/>
  <c r="AA175" i="2"/>
  <c r="X62" i="2"/>
  <c r="Z62" i="2"/>
  <c r="Z169" i="2"/>
  <c r="X137" i="2"/>
  <c r="AA137" i="2"/>
  <c r="X82" i="2"/>
  <c r="AA82" i="2"/>
  <c r="X157" i="2"/>
  <c r="AA157" i="2"/>
  <c r="AC157" i="2" s="1"/>
  <c r="AB157" i="2" s="1"/>
  <c r="X143" i="2"/>
  <c r="AA143" i="2"/>
  <c r="X77" i="2"/>
  <c r="AA77" i="2"/>
  <c r="X69" i="2"/>
  <c r="AA69" i="2"/>
  <c r="X140" i="2"/>
  <c r="AA140" i="2"/>
  <c r="AA34" i="2"/>
  <c r="Y184" i="2"/>
  <c r="U17" i="1" s="1"/>
  <c r="V79" i="2"/>
  <c r="Y79" i="2"/>
  <c r="V202" i="2"/>
  <c r="Y202" i="2"/>
  <c r="AA202" i="2" s="1"/>
  <c r="V59" i="2"/>
  <c r="Y59" i="2"/>
  <c r="V58" i="2"/>
  <c r="Y58" i="2"/>
  <c r="V141" i="2"/>
  <c r="Y141" i="2"/>
  <c r="X129" i="2"/>
  <c r="X34" i="2"/>
  <c r="Y37" i="2"/>
  <c r="X37" i="2" s="1"/>
  <c r="W204" i="2"/>
  <c r="T19" i="1" s="1"/>
  <c r="W146" i="2"/>
  <c r="V146" i="2" s="1"/>
  <c r="T146" i="2"/>
  <c r="S19" i="1"/>
  <c r="T204" i="2"/>
  <c r="W7" i="1" l="1"/>
  <c r="W9" i="1" s="1"/>
  <c r="V9" i="1"/>
  <c r="Z202" i="2"/>
  <c r="AC202" i="2"/>
  <c r="Z179" i="2"/>
  <c r="AC179" i="2"/>
  <c r="AB179" i="2" s="1"/>
  <c r="Z122" i="2"/>
  <c r="AC122" i="2"/>
  <c r="AB122" i="2" s="1"/>
  <c r="Z160" i="2"/>
  <c r="AC160" i="2"/>
  <c r="AB160" i="2" s="1"/>
  <c r="Z139" i="2"/>
  <c r="AC139" i="2"/>
  <c r="AB139" i="2" s="1"/>
  <c r="Z64" i="2"/>
  <c r="AC64" i="2"/>
  <c r="AB64" i="2" s="1"/>
  <c r="Z135" i="2"/>
  <c r="AC135" i="2"/>
  <c r="AC37" i="2"/>
  <c r="AB34" i="2"/>
  <c r="Z143" i="2"/>
  <c r="AC143" i="2"/>
  <c r="AB143" i="2" s="1"/>
  <c r="Z82" i="2"/>
  <c r="AC82" i="2"/>
  <c r="AB82" i="2" s="1"/>
  <c r="Z137" i="2"/>
  <c r="AC137" i="2"/>
  <c r="AB137" i="2" s="1"/>
  <c r="Z52" i="2"/>
  <c r="AC52" i="2"/>
  <c r="AB52" i="2" s="1"/>
  <c r="Z181" i="2"/>
  <c r="AC181" i="2"/>
  <c r="AB181" i="2" s="1"/>
  <c r="Z140" i="2"/>
  <c r="AC140" i="2"/>
  <c r="AB140" i="2" s="1"/>
  <c r="Z69" i="2"/>
  <c r="AC69" i="2"/>
  <c r="AB69" i="2" s="1"/>
  <c r="Z77" i="2"/>
  <c r="AC77" i="2"/>
  <c r="AB77" i="2" s="1"/>
  <c r="Z72" i="2"/>
  <c r="AC72" i="2"/>
  <c r="AB72" i="2" s="1"/>
  <c r="AB155" i="2"/>
  <c r="Z175" i="2"/>
  <c r="AC175" i="2"/>
  <c r="Z157" i="2"/>
  <c r="X58" i="2"/>
  <c r="AA58" i="2"/>
  <c r="AC58" i="2" s="1"/>
  <c r="AB58" i="2" s="1"/>
  <c r="AA184" i="2"/>
  <c r="Z34" i="2"/>
  <c r="AA37" i="2"/>
  <c r="Z37" i="2" s="1"/>
  <c r="X59" i="2"/>
  <c r="AA59" i="2"/>
  <c r="X141" i="2"/>
  <c r="AA141" i="2"/>
  <c r="AC141" i="2" s="1"/>
  <c r="AB141" i="2" s="1"/>
  <c r="X79" i="2"/>
  <c r="AA79" i="2"/>
  <c r="AA204" i="2"/>
  <c r="V19" i="1" s="1"/>
  <c r="Y146" i="2"/>
  <c r="X202" i="2"/>
  <c r="Y204" i="2"/>
  <c r="U19" i="1" s="1"/>
  <c r="V204" i="2"/>
  <c r="T15" i="1"/>
  <c r="J42" i="2"/>
  <c r="AB175" i="2" l="1"/>
  <c r="AC184" i="2"/>
  <c r="Z79" i="2"/>
  <c r="AC79" i="2"/>
  <c r="AB79" i="2" s="1"/>
  <c r="AB37" i="2"/>
  <c r="AB202" i="2"/>
  <c r="AC204" i="2"/>
  <c r="W19" i="1" s="1"/>
  <c r="Z59" i="2"/>
  <c r="AC59" i="2"/>
  <c r="AB59" i="2" s="1"/>
  <c r="AB135" i="2"/>
  <c r="AC146" i="2"/>
  <c r="W15" i="1" s="1"/>
  <c r="Z184" i="2"/>
  <c r="V17" i="1"/>
  <c r="Z141" i="2"/>
  <c r="AA146" i="2"/>
  <c r="Z58" i="2"/>
  <c r="Z204" i="2"/>
  <c r="X146" i="2"/>
  <c r="U15" i="1"/>
  <c r="X204" i="2"/>
  <c r="AB184" i="2" l="1"/>
  <c r="W17" i="1"/>
  <c r="AB146" i="2"/>
  <c r="AB204" i="2"/>
  <c r="Z146" i="2"/>
  <c r="V15" i="1"/>
  <c r="S33" i="1" l="1"/>
  <c r="M13" i="1"/>
  <c r="R8" i="1" l="1"/>
  <c r="R20" i="1"/>
  <c r="R25" i="1"/>
  <c r="J210" i="2" l="1"/>
  <c r="K4" i="1" l="1"/>
  <c r="I4" i="1"/>
  <c r="I25" i="1" l="1"/>
  <c r="M25" i="1"/>
  <c r="K25" i="1"/>
  <c r="Q25" i="1"/>
  <c r="O25" i="1"/>
  <c r="J13" i="2" l="1"/>
  <c r="J62" i="2" l="1"/>
  <c r="J47" i="2"/>
  <c r="I121" i="2"/>
  <c r="H121" i="2"/>
  <c r="G121" i="2"/>
  <c r="J120" i="2" l="1"/>
  <c r="Q13" i="1"/>
  <c r="Q8" i="1"/>
  <c r="Q6" i="1"/>
  <c r="Q20" i="1" l="1"/>
  <c r="R9" i="1" l="1"/>
  <c r="J215" i="2" l="1"/>
  <c r="K8" i="1" l="1"/>
  <c r="Q22" i="1" l="1"/>
  <c r="H34" i="2" l="1"/>
  <c r="G204" i="2" l="1"/>
  <c r="G93" i="2"/>
  <c r="G76" i="2"/>
  <c r="G34" i="2"/>
  <c r="G37" i="2" s="1"/>
  <c r="G125" i="2" l="1"/>
  <c r="I7" i="1"/>
  <c r="G226" i="2"/>
  <c r="G184" i="2"/>
  <c r="J214" i="2" l="1"/>
  <c r="J252" i="2" l="1"/>
  <c r="J175" i="2" l="1"/>
  <c r="J72" i="2" l="1"/>
  <c r="J142" i="2"/>
  <c r="J162" i="2"/>
  <c r="J173" i="2"/>
  <c r="J154" i="2" l="1"/>
  <c r="R12" i="1" l="1"/>
  <c r="Q12" i="1"/>
  <c r="J124" i="2"/>
  <c r="J194" i="2"/>
  <c r="J192" i="2"/>
  <c r="J191" i="2"/>
  <c r="J190" i="2"/>
  <c r="J189" i="2"/>
  <c r="Q9" i="1" l="1"/>
  <c r="I8" i="1" l="1"/>
  <c r="J16" i="2" l="1"/>
  <c r="F121" i="2" l="1"/>
  <c r="J247" i="2" l="1"/>
  <c r="G4" i="1" l="1"/>
  <c r="F34" i="2"/>
  <c r="J75" i="2" l="1"/>
  <c r="J63" i="2" l="1"/>
  <c r="J213" i="2" l="1"/>
  <c r="J218" i="2" l="1"/>
  <c r="J179" i="2" l="1"/>
  <c r="J181" i="2" l="1"/>
  <c r="J53" i="2" l="1"/>
  <c r="J263" i="2"/>
  <c r="J243" i="2" l="1"/>
  <c r="E228" i="2" l="1"/>
  <c r="E205" i="2"/>
  <c r="E185" i="2"/>
  <c r="E166" i="2"/>
  <c r="E147" i="2"/>
  <c r="E126" i="2"/>
  <c r="E146" i="2"/>
  <c r="E4" i="1" l="1"/>
  <c r="K31" i="1" l="1"/>
  <c r="M31" i="1" s="1"/>
  <c r="P31" i="1" s="1"/>
  <c r="M8" i="1" l="1"/>
  <c r="G8" i="1"/>
  <c r="E8" i="1"/>
  <c r="J217" i="2" l="1"/>
  <c r="J7" i="2" l="1"/>
  <c r="J6" i="2"/>
  <c r="J5" i="2"/>
  <c r="J15" i="2"/>
  <c r="J17" i="2"/>
  <c r="J30" i="2"/>
  <c r="J27" i="2"/>
  <c r="J26" i="2"/>
  <c r="J25" i="2"/>
  <c r="J24" i="2"/>
  <c r="J23" i="2"/>
  <c r="J22" i="2"/>
  <c r="J21" i="2"/>
  <c r="J20" i="2"/>
  <c r="J19" i="2"/>
  <c r="J18" i="2"/>
  <c r="J97" i="2"/>
  <c r="J104" i="2"/>
  <c r="J103" i="2"/>
  <c r="J106" i="2"/>
  <c r="J127" i="2"/>
  <c r="J130" i="2"/>
  <c r="J145" i="2"/>
  <c r="J151" i="2"/>
  <c r="J148" i="2"/>
  <c r="J167" i="2"/>
  <c r="J170" i="2"/>
  <c r="J183" i="2"/>
  <c r="J211" i="2"/>
  <c r="J209" i="2"/>
  <c r="J208" i="2"/>
  <c r="J207" i="2"/>
  <c r="J206" i="2"/>
  <c r="J225" i="2"/>
  <c r="J224" i="2"/>
  <c r="J223" i="2"/>
  <c r="J221" i="2"/>
  <c r="J220" i="2"/>
  <c r="J219" i="2"/>
  <c r="J258" i="2"/>
  <c r="J251" i="2"/>
  <c r="J250" i="2"/>
  <c r="J111" i="2" l="1"/>
  <c r="J57" i="2"/>
  <c r="E121" i="2" l="1"/>
  <c r="D121" i="2"/>
  <c r="I34" i="2"/>
  <c r="D34" i="2"/>
  <c r="E34" i="2"/>
  <c r="F37" i="2"/>
  <c r="J121" i="2" l="1"/>
  <c r="J8" i="2"/>
  <c r="O13" i="1"/>
  <c r="O7" i="1"/>
  <c r="O6" i="1"/>
  <c r="J264" i="2"/>
  <c r="J262" i="2"/>
  <c r="J260" i="2"/>
  <c r="J188" i="2"/>
  <c r="J186" i="2"/>
  <c r="J113" i="2"/>
  <c r="J112" i="2"/>
  <c r="J108" i="2"/>
  <c r="O9" i="1" l="1"/>
  <c r="J77" i="2" l="1"/>
  <c r="J261" i="2"/>
  <c r="J257" i="2"/>
  <c r="J256" i="2"/>
  <c r="J255" i="2"/>
  <c r="J249" i="2"/>
  <c r="J248" i="2"/>
  <c r="J246" i="2"/>
  <c r="J245" i="2"/>
  <c r="J242" i="2"/>
  <c r="J241" i="2"/>
  <c r="J240" i="2"/>
  <c r="J239" i="2"/>
  <c r="J238" i="2"/>
  <c r="J237" i="2"/>
  <c r="J236" i="2"/>
  <c r="J233" i="2"/>
  <c r="J232" i="2"/>
  <c r="J231" i="2"/>
  <c r="J228" i="2"/>
  <c r="J205" i="2"/>
  <c r="J202" i="2"/>
  <c r="J201" i="2"/>
  <c r="J199" i="2"/>
  <c r="J198" i="2"/>
  <c r="J197" i="2"/>
  <c r="J196" i="2"/>
  <c r="J195" i="2"/>
  <c r="J185" i="2"/>
  <c r="J182" i="2"/>
  <c r="J178" i="2"/>
  <c r="J166" i="2"/>
  <c r="J163" i="2"/>
  <c r="J159" i="2"/>
  <c r="J138" i="2"/>
  <c r="J126" i="2"/>
  <c r="J107" i="2"/>
  <c r="J105" i="2"/>
  <c r="J102" i="2"/>
  <c r="J101" i="2"/>
  <c r="J100" i="2"/>
  <c r="J96" i="2"/>
  <c r="J95" i="2"/>
  <c r="J90" i="2"/>
  <c r="J89" i="2"/>
  <c r="J88" i="2"/>
  <c r="J87" i="2"/>
  <c r="J86" i="2"/>
  <c r="J85" i="2"/>
  <c r="J83" i="2"/>
  <c r="J78" i="2"/>
  <c r="J74" i="2"/>
  <c r="J73" i="2"/>
  <c r="J71" i="2"/>
  <c r="J68" i="2"/>
  <c r="J58" i="2"/>
  <c r="J46" i="2"/>
  <c r="J39" i="2"/>
  <c r="J147" i="2" s="1"/>
  <c r="O20" i="1" l="1"/>
  <c r="O34" i="1" l="1"/>
  <c r="P4" i="1" l="1"/>
  <c r="C4" i="1" l="1"/>
  <c r="C8" i="1"/>
  <c r="C7" i="1"/>
  <c r="B11" i="1" l="1"/>
  <c r="P8" i="1" l="1"/>
  <c r="B4" i="1" l="1"/>
  <c r="B6" i="1"/>
  <c r="B7" i="1"/>
  <c r="B8" i="1"/>
  <c r="B12" i="1"/>
  <c r="B13" i="1"/>
  <c r="B22" i="1"/>
  <c r="B34" i="1"/>
  <c r="B9" i="1" l="1"/>
  <c r="E36" i="2"/>
  <c r="J152" i="2" l="1"/>
  <c r="J172" i="2"/>
  <c r="P13" i="1"/>
  <c r="M6" i="1"/>
  <c r="I228" i="2"/>
  <c r="I226" i="2"/>
  <c r="I205" i="2"/>
  <c r="I185" i="2"/>
  <c r="I166" i="2"/>
  <c r="I147" i="2"/>
  <c r="I126" i="2"/>
  <c r="I76" i="2"/>
  <c r="J76" i="2" s="1"/>
  <c r="I39" i="2"/>
  <c r="M20" i="1" l="1"/>
  <c r="J226" i="2"/>
  <c r="J30" i="1"/>
  <c r="H30" i="1"/>
  <c r="I265" i="2" l="1"/>
  <c r="K267" i="2" s="1"/>
  <c r="O22" i="1" s="1"/>
  <c r="J265" i="2" l="1"/>
  <c r="J135" i="2"/>
  <c r="J156" i="2"/>
  <c r="E93" i="2"/>
  <c r="D93" i="2"/>
  <c r="C93" i="2"/>
  <c r="Q19" i="1" l="1"/>
  <c r="J129" i="2"/>
  <c r="J144" i="2"/>
  <c r="J200" i="2"/>
  <c r="J203" i="2"/>
  <c r="I204" i="2"/>
  <c r="M19" i="1" s="1"/>
  <c r="R19" i="1" l="1"/>
  <c r="J65" i="2"/>
  <c r="J139" i="2"/>
  <c r="J69" i="2"/>
  <c r="J171" i="2"/>
  <c r="J153" i="2"/>
  <c r="F93" i="2"/>
  <c r="C34" i="2"/>
  <c r="C37" i="2" s="1"/>
  <c r="D37" i="2"/>
  <c r="C204" i="2"/>
  <c r="B19" i="1" s="1"/>
  <c r="C146" i="2"/>
  <c r="B15" i="1" s="1"/>
  <c r="C121" i="2"/>
  <c r="K13" i="1"/>
  <c r="N13" i="1" s="1"/>
  <c r="I13" i="1"/>
  <c r="G13" i="1"/>
  <c r="E13" i="1"/>
  <c r="C13" i="1"/>
  <c r="D13" i="1" s="1"/>
  <c r="C76" i="2"/>
  <c r="E31" i="1"/>
  <c r="H31" i="1" s="1"/>
  <c r="C226" i="2"/>
  <c r="B20" i="1" s="1"/>
  <c r="D31" i="1"/>
  <c r="A1" i="2"/>
  <c r="E265" i="2"/>
  <c r="H226" i="2"/>
  <c r="H76" i="2"/>
  <c r="F123" i="2"/>
  <c r="F226" i="2"/>
  <c r="F76" i="2"/>
  <c r="E226" i="2"/>
  <c r="E204" i="2"/>
  <c r="E76" i="2"/>
  <c r="D226" i="2"/>
  <c r="C20" i="1" s="1"/>
  <c r="D204" i="2"/>
  <c r="C19" i="1" s="1"/>
  <c r="D76" i="2"/>
  <c r="G228" i="2"/>
  <c r="F228" i="2"/>
  <c r="F265" i="2" s="1"/>
  <c r="D228" i="2"/>
  <c r="D265" i="2" s="1"/>
  <c r="C228" i="2"/>
  <c r="C265" i="2" s="1"/>
  <c r="H205" i="2"/>
  <c r="H228" i="2" s="1"/>
  <c r="G205" i="2"/>
  <c r="F205" i="2"/>
  <c r="D205" i="2"/>
  <c r="C205" i="2"/>
  <c r="H185" i="2"/>
  <c r="G185" i="2"/>
  <c r="F185" i="2"/>
  <c r="D185" i="2"/>
  <c r="C185" i="2"/>
  <c r="H166" i="2"/>
  <c r="G166" i="2"/>
  <c r="F166" i="2"/>
  <c r="D166" i="2"/>
  <c r="C166" i="2"/>
  <c r="H147" i="2"/>
  <c r="G147" i="2"/>
  <c r="F147" i="2"/>
  <c r="D147" i="2"/>
  <c r="C147" i="2"/>
  <c r="H126" i="2"/>
  <c r="G126" i="2"/>
  <c r="F126" i="2"/>
  <c r="D126" i="2"/>
  <c r="C126" i="2"/>
  <c r="H39" i="2"/>
  <c r="G39" i="2"/>
  <c r="F39" i="2"/>
  <c r="D39" i="2"/>
  <c r="C39" i="2"/>
  <c r="C6" i="1"/>
  <c r="E6" i="1"/>
  <c r="G6" i="1"/>
  <c r="I6" i="1"/>
  <c r="K6" i="1"/>
  <c r="N8" i="1"/>
  <c r="C12" i="1"/>
  <c r="C34" i="1"/>
  <c r="C184" i="2"/>
  <c r="B17" i="1" s="1"/>
  <c r="D164" i="2"/>
  <c r="C165" i="2"/>
  <c r="B16" i="1" s="1"/>
  <c r="D146" i="2"/>
  <c r="C15" i="1" s="1"/>
  <c r="E12" i="1"/>
  <c r="H265" i="2" l="1"/>
  <c r="G265" i="2"/>
  <c r="G267" i="2" s="1"/>
  <c r="I22" i="1" s="1"/>
  <c r="E267" i="2"/>
  <c r="E22" i="1" s="1"/>
  <c r="F267" i="2"/>
  <c r="G22" i="1" s="1"/>
  <c r="J136" i="2"/>
  <c r="J61" i="2"/>
  <c r="J79" i="2"/>
  <c r="J81" i="2"/>
  <c r="J80" i="2"/>
  <c r="J132" i="2"/>
  <c r="J59" i="2"/>
  <c r="C125" i="2"/>
  <c r="B14" i="1" s="1"/>
  <c r="I20" i="1"/>
  <c r="G20" i="1"/>
  <c r="E20" i="1"/>
  <c r="K20" i="1"/>
  <c r="E125" i="2"/>
  <c r="E11" i="1" s="1"/>
  <c r="E14" i="1" s="1"/>
  <c r="J204" i="2"/>
  <c r="O19" i="1"/>
  <c r="D125" i="2"/>
  <c r="C11" i="1" s="1"/>
  <c r="B18" i="1"/>
  <c r="F12" i="1"/>
  <c r="H4" i="1"/>
  <c r="G34" i="1"/>
  <c r="F31" i="1"/>
  <c r="E33" i="1"/>
  <c r="F8" i="1"/>
  <c r="H8" i="1"/>
  <c r="F125" i="2"/>
  <c r="E165" i="2"/>
  <c r="E16" i="1" s="1"/>
  <c r="F164" i="2"/>
  <c r="H164" i="2" s="1"/>
  <c r="I164" i="2" s="1"/>
  <c r="K164" i="2" s="1"/>
  <c r="E184" i="2"/>
  <c r="E17" i="1" s="1"/>
  <c r="D184" i="2"/>
  <c r="C17" i="1" s="1"/>
  <c r="F13" i="1"/>
  <c r="H13" i="1"/>
  <c r="L8" i="1"/>
  <c r="D4" i="1"/>
  <c r="D15" i="1"/>
  <c r="J8" i="1"/>
  <c r="D19" i="1"/>
  <c r="C9" i="1"/>
  <c r="D8" i="1"/>
  <c r="D7" i="1"/>
  <c r="L4" i="1"/>
  <c r="D12" i="1"/>
  <c r="D267" i="2"/>
  <c r="C22" i="1" s="1"/>
  <c r="D165" i="2"/>
  <c r="F4" i="1"/>
  <c r="J4" i="1"/>
  <c r="I19" i="1"/>
  <c r="F204" i="2"/>
  <c r="E19" i="1"/>
  <c r="F19" i="1" s="1"/>
  <c r="E15" i="1"/>
  <c r="F15" i="1" s="1"/>
  <c r="F146" i="2"/>
  <c r="G12" i="1"/>
  <c r="H12" i="1" s="1"/>
  <c r="I12" i="1"/>
  <c r="L13" i="1"/>
  <c r="J13" i="1"/>
  <c r="E7" i="1"/>
  <c r="E9" i="1" s="1"/>
  <c r="I267" i="2" l="1"/>
  <c r="M22" i="1" s="1"/>
  <c r="H267" i="2"/>
  <c r="K22" i="1" s="1"/>
  <c r="M184" i="2"/>
  <c r="K184" i="2"/>
  <c r="K165" i="2"/>
  <c r="F184" i="2"/>
  <c r="C227" i="2"/>
  <c r="C266" i="2" s="1"/>
  <c r="P19" i="1"/>
  <c r="B21" i="1"/>
  <c r="B23" i="1" s="1"/>
  <c r="B26" i="1" s="1"/>
  <c r="B29" i="1" s="1"/>
  <c r="B35" i="1" s="1"/>
  <c r="J128" i="2"/>
  <c r="H93" i="2"/>
  <c r="J31" i="1"/>
  <c r="I34" i="1"/>
  <c r="E34" i="1"/>
  <c r="E35" i="2"/>
  <c r="F17" i="1"/>
  <c r="D227" i="2"/>
  <c r="F165" i="2"/>
  <c r="G165" i="2"/>
  <c r="G146" i="2"/>
  <c r="I15" i="1" s="1"/>
  <c r="D9" i="1"/>
  <c r="H123" i="2"/>
  <c r="D17" i="1"/>
  <c r="C16" i="1"/>
  <c r="F11" i="1"/>
  <c r="E227" i="2"/>
  <c r="E266" i="2" s="1"/>
  <c r="H204" i="2"/>
  <c r="G19" i="1"/>
  <c r="H19" i="1" s="1"/>
  <c r="E18" i="1"/>
  <c r="G15" i="1"/>
  <c r="H146" i="2"/>
  <c r="J12" i="1"/>
  <c r="G11" i="1"/>
  <c r="H11" i="1" s="1"/>
  <c r="C14" i="1"/>
  <c r="D11" i="1"/>
  <c r="F7" i="1"/>
  <c r="G7" i="1"/>
  <c r="G9" i="1" s="1"/>
  <c r="M165" i="2" l="1"/>
  <c r="L165" i="2" s="1"/>
  <c r="G17" i="1"/>
  <c r="H17" i="1" s="1"/>
  <c r="G227" i="2"/>
  <c r="G266" i="2" s="1"/>
  <c r="J169" i="2"/>
  <c r="J131" i="2"/>
  <c r="J157" i="2"/>
  <c r="J122" i="2"/>
  <c r="J66" i="2"/>
  <c r="J51" i="2"/>
  <c r="J50" i="2"/>
  <c r="J180" i="2"/>
  <c r="E37" i="2"/>
  <c r="J99" i="2"/>
  <c r="J160" i="2"/>
  <c r="J67" i="2"/>
  <c r="J92" i="2"/>
  <c r="J158" i="2"/>
  <c r="J60" i="2"/>
  <c r="J168" i="2"/>
  <c r="J82" i="2"/>
  <c r="G16" i="1"/>
  <c r="H16" i="1" s="1"/>
  <c r="I123" i="2"/>
  <c r="K123" i="2" s="1"/>
  <c r="M12" i="1"/>
  <c r="H125" i="2"/>
  <c r="I93" i="2"/>
  <c r="I146" i="2"/>
  <c r="M15" i="1" s="1"/>
  <c r="K34" i="1"/>
  <c r="L31" i="1"/>
  <c r="I16" i="1"/>
  <c r="F227" i="2"/>
  <c r="D266" i="2"/>
  <c r="I17" i="1"/>
  <c r="H184" i="2"/>
  <c r="D16" i="1"/>
  <c r="F16" i="1"/>
  <c r="C18" i="1"/>
  <c r="C21" i="1" s="1"/>
  <c r="D21" i="1" s="1"/>
  <c r="E21" i="1"/>
  <c r="E23" i="1" s="1"/>
  <c r="E26" i="1" s="1"/>
  <c r="J19" i="1"/>
  <c r="K19" i="1"/>
  <c r="H165" i="2"/>
  <c r="J15" i="1"/>
  <c r="K15" i="1"/>
  <c r="H15" i="1"/>
  <c r="K12" i="1"/>
  <c r="G14" i="1"/>
  <c r="I11" i="1"/>
  <c r="F9" i="1"/>
  <c r="H7" i="1"/>
  <c r="I9" i="1"/>
  <c r="M123" i="2" l="1"/>
  <c r="K125" i="2"/>
  <c r="K227" i="2" s="1"/>
  <c r="K266" i="2" s="1"/>
  <c r="L184" i="2"/>
  <c r="O184" i="2"/>
  <c r="O165" i="2"/>
  <c r="H227" i="2"/>
  <c r="I125" i="2"/>
  <c r="J134" i="2"/>
  <c r="J155" i="2"/>
  <c r="J149" i="2"/>
  <c r="J48" i="2"/>
  <c r="J176" i="2"/>
  <c r="J143" i="2"/>
  <c r="J84" i="2"/>
  <c r="J140" i="2"/>
  <c r="J54" i="2"/>
  <c r="J52" i="2"/>
  <c r="J174" i="2"/>
  <c r="J177" i="2"/>
  <c r="J137" i="2"/>
  <c r="J141" i="2"/>
  <c r="P12" i="1"/>
  <c r="G18" i="1"/>
  <c r="G21" i="1" s="1"/>
  <c r="H21" i="1" s="1"/>
  <c r="J133" i="2"/>
  <c r="J161" i="2"/>
  <c r="J93" i="2"/>
  <c r="J45" i="2"/>
  <c r="J56" i="2"/>
  <c r="N15" i="1"/>
  <c r="J16" i="1"/>
  <c r="I184" i="2"/>
  <c r="M17" i="1" s="1"/>
  <c r="I18" i="1"/>
  <c r="L12" i="1"/>
  <c r="N12" i="1"/>
  <c r="M34" i="1"/>
  <c r="N31" i="1"/>
  <c r="L19" i="1"/>
  <c r="N19" i="1"/>
  <c r="F266" i="2"/>
  <c r="K17" i="1"/>
  <c r="I165" i="2"/>
  <c r="J17" i="1"/>
  <c r="C23" i="1"/>
  <c r="F23" i="1" s="1"/>
  <c r="F21" i="1"/>
  <c r="K16" i="1"/>
  <c r="L16" i="1" s="1"/>
  <c r="L15" i="1"/>
  <c r="K11" i="1"/>
  <c r="J11" i="1"/>
  <c r="I14" i="1"/>
  <c r="H9" i="1"/>
  <c r="K7" i="1"/>
  <c r="J7" i="1"/>
  <c r="H37" i="2"/>
  <c r="N165" i="2" l="1"/>
  <c r="Q184" i="2"/>
  <c r="N184" i="2"/>
  <c r="S164" i="2"/>
  <c r="Q165" i="2"/>
  <c r="P165" i="2" s="1"/>
  <c r="O123" i="2"/>
  <c r="O125" i="2" s="1"/>
  <c r="M125" i="2"/>
  <c r="J150" i="2"/>
  <c r="N11" i="1"/>
  <c r="I21" i="1"/>
  <c r="J21" i="1" s="1"/>
  <c r="J55" i="2"/>
  <c r="J64" i="2"/>
  <c r="J49" i="2"/>
  <c r="J146" i="2"/>
  <c r="O15" i="1"/>
  <c r="M7" i="1"/>
  <c r="K9" i="1"/>
  <c r="L17" i="1"/>
  <c r="N17" i="1"/>
  <c r="M16" i="1"/>
  <c r="I227" i="2"/>
  <c r="I266" i="2" s="1"/>
  <c r="C26" i="1"/>
  <c r="F26" i="1" s="1"/>
  <c r="D23" i="1"/>
  <c r="K18" i="1"/>
  <c r="G23" i="1"/>
  <c r="H23" i="1" s="1"/>
  <c r="K14" i="1"/>
  <c r="L11" i="1"/>
  <c r="H266" i="2"/>
  <c r="L7" i="1"/>
  <c r="J9" i="1"/>
  <c r="S184" i="2" l="1"/>
  <c r="R184" i="2" s="1"/>
  <c r="S165" i="2"/>
  <c r="U164" i="2"/>
  <c r="P184" i="2"/>
  <c r="Q123" i="2"/>
  <c r="L125" i="2"/>
  <c r="M227" i="2"/>
  <c r="M14" i="1"/>
  <c r="O17" i="1"/>
  <c r="J165" i="2"/>
  <c r="O16" i="1"/>
  <c r="M9" i="1"/>
  <c r="P9" i="1" s="1"/>
  <c r="P7" i="1"/>
  <c r="J125" i="2"/>
  <c r="O11" i="1"/>
  <c r="P15" i="1"/>
  <c r="I37" i="2"/>
  <c r="J34" i="2"/>
  <c r="J184" i="2"/>
  <c r="I23" i="1"/>
  <c r="I26" i="1" s="1"/>
  <c r="N7" i="1"/>
  <c r="N16" i="1"/>
  <c r="M18" i="1"/>
  <c r="C29" i="1"/>
  <c r="C35" i="1" s="1"/>
  <c r="E28" i="1" s="1"/>
  <c r="D26" i="1"/>
  <c r="K21" i="1"/>
  <c r="L21" i="1" s="1"/>
  <c r="G26" i="1"/>
  <c r="H26" i="1" s="1"/>
  <c r="L9" i="1"/>
  <c r="U165" i="2" l="1"/>
  <c r="S16" i="1" s="1"/>
  <c r="W164" i="2"/>
  <c r="U184" i="2"/>
  <c r="S17" i="1" s="1"/>
  <c r="W184" i="2"/>
  <c r="R165" i="2"/>
  <c r="M266" i="2"/>
  <c r="L266" i="2" s="1"/>
  <c r="L227" i="2"/>
  <c r="S123" i="2"/>
  <c r="Q125" i="2"/>
  <c r="Q11" i="1" s="1"/>
  <c r="N125" i="2"/>
  <c r="O227" i="2"/>
  <c r="M21" i="1"/>
  <c r="M23" i="1" s="1"/>
  <c r="Q16" i="1"/>
  <c r="O18" i="1"/>
  <c r="P17" i="1"/>
  <c r="E29" i="1"/>
  <c r="E35" i="1" s="1"/>
  <c r="P16" i="1"/>
  <c r="P11" i="1"/>
  <c r="O14" i="1"/>
  <c r="J227" i="2"/>
  <c r="J37" i="2"/>
  <c r="J23" i="1"/>
  <c r="K23" i="1"/>
  <c r="K26" i="1" s="1"/>
  <c r="J26" i="1"/>
  <c r="T17" i="1" l="1"/>
  <c r="X184" i="2"/>
  <c r="W165" i="2"/>
  <c r="V165" i="2" s="1"/>
  <c r="Y164" i="2"/>
  <c r="T165" i="2"/>
  <c r="T184" i="2"/>
  <c r="S18" i="1"/>
  <c r="V184" i="2"/>
  <c r="S125" i="2"/>
  <c r="R11" i="1" s="1"/>
  <c r="U123" i="2"/>
  <c r="P125" i="2"/>
  <c r="Q227" i="2"/>
  <c r="O266" i="2"/>
  <c r="N266" i="2" s="1"/>
  <c r="N227" i="2"/>
  <c r="R16" i="1"/>
  <c r="N21" i="1"/>
  <c r="Q15" i="1"/>
  <c r="Q17" i="1"/>
  <c r="O21" i="1"/>
  <c r="J266" i="2"/>
  <c r="G28" i="1"/>
  <c r="G29" i="1" s="1"/>
  <c r="L26" i="1"/>
  <c r="L23" i="1"/>
  <c r="N23" i="1"/>
  <c r="O23" i="1" l="1"/>
  <c r="Y165" i="2"/>
  <c r="U16" i="1" s="1"/>
  <c r="AA164" i="2"/>
  <c r="T16" i="1"/>
  <c r="U125" i="2"/>
  <c r="S11" i="1" s="1"/>
  <c r="W123" i="2"/>
  <c r="S227" i="2"/>
  <c r="S266" i="2" s="1"/>
  <c r="R125" i="2"/>
  <c r="Q266" i="2"/>
  <c r="P266" i="2" s="1"/>
  <c r="P227" i="2"/>
  <c r="R17" i="1"/>
  <c r="R15" i="1"/>
  <c r="Q14" i="1"/>
  <c r="Q18" i="1"/>
  <c r="G35" i="1"/>
  <c r="I28" i="1" s="1"/>
  <c r="I29" i="1" s="1"/>
  <c r="I35" i="1" s="1"/>
  <c r="K28" i="1" s="1"/>
  <c r="K29" i="1" s="1"/>
  <c r="K35" i="1" s="1"/>
  <c r="P21" i="1"/>
  <c r="O26" i="1"/>
  <c r="AA165" i="2" l="1"/>
  <c r="V16" i="1" s="1"/>
  <c r="AC164" i="2"/>
  <c r="AC165" i="2" s="1"/>
  <c r="W16" i="1" s="1"/>
  <c r="W18" i="1" s="1"/>
  <c r="U18" i="1"/>
  <c r="X165" i="2"/>
  <c r="Z165" i="2"/>
  <c r="T18" i="1"/>
  <c r="W125" i="2"/>
  <c r="T11" i="1" s="1"/>
  <c r="Y123" i="2"/>
  <c r="AA123" i="2" s="1"/>
  <c r="U227" i="2"/>
  <c r="U266" i="2" s="1"/>
  <c r="T125" i="2"/>
  <c r="R227" i="2"/>
  <c r="R14" i="1"/>
  <c r="R18" i="1"/>
  <c r="R266" i="2"/>
  <c r="Q21" i="1"/>
  <c r="M35" i="1"/>
  <c r="O28" i="1" s="1"/>
  <c r="O29" i="1" s="1"/>
  <c r="O35" i="1" s="1"/>
  <c r="P23" i="1"/>
  <c r="P26" i="1"/>
  <c r="V18" i="1" l="1"/>
  <c r="AA125" i="2"/>
  <c r="V11" i="1" s="1"/>
  <c r="AC123" i="2"/>
  <c r="AC125" i="2" s="1"/>
  <c r="W11" i="1" s="1"/>
  <c r="W14" i="1" s="1"/>
  <c r="W21" i="1" s="1"/>
  <c r="W23" i="1" s="1"/>
  <c r="W26" i="1" s="1"/>
  <c r="AB165" i="2"/>
  <c r="R21" i="1"/>
  <c r="Y125" i="2"/>
  <c r="U11" i="1" s="1"/>
  <c r="W227" i="2"/>
  <c r="W266" i="2" s="1"/>
  <c r="V125" i="2"/>
  <c r="T14" i="1"/>
  <c r="T21" i="1" s="1"/>
  <c r="T227" i="2"/>
  <c r="S14" i="1"/>
  <c r="T266" i="2"/>
  <c r="Q23" i="1"/>
  <c r="Q26" i="1" s="1"/>
  <c r="V14" i="1" l="1"/>
  <c r="V21" i="1" s="1"/>
  <c r="AA227" i="2"/>
  <c r="AA266" i="2" s="1"/>
  <c r="AB125" i="2"/>
  <c r="AC227" i="2"/>
  <c r="AC266" i="2" s="1"/>
  <c r="U14" i="1"/>
  <c r="U21" i="1" s="1"/>
  <c r="Z125" i="2"/>
  <c r="R23" i="1"/>
  <c r="S21" i="1"/>
  <c r="Y227" i="2"/>
  <c r="Y266" i="2" s="1"/>
  <c r="X266" i="2" s="1"/>
  <c r="X125" i="2"/>
  <c r="V227" i="2"/>
  <c r="T23" i="1"/>
  <c r="V266" i="2"/>
  <c r="V23" i="1" l="1"/>
  <c r="AB227" i="2"/>
  <c r="AB266" i="2"/>
  <c r="U23" i="1"/>
  <c r="Z227" i="2"/>
  <c r="Z266" i="2"/>
  <c r="R26" i="1"/>
  <c r="S23" i="1"/>
  <c r="X227" i="2"/>
  <c r="T26" i="1"/>
  <c r="V26" i="1" l="1"/>
  <c r="U26" i="1"/>
  <c r="S26" i="1"/>
  <c r="Q33" i="1" l="1"/>
  <c r="R33" i="1"/>
  <c r="Q29" i="1"/>
  <c r="Q35" i="1" l="1"/>
  <c r="R28" i="1" s="1"/>
  <c r="R29" i="1" s="1"/>
  <c r="R35" i="1" s="1"/>
  <c r="S28" i="1" s="1"/>
  <c r="S29" i="1" l="1"/>
  <c r="S35" i="1" s="1"/>
  <c r="T28" i="1" s="1"/>
  <c r="T29" i="1" s="1"/>
  <c r="T33" i="1"/>
  <c r="V33" i="1" l="1"/>
  <c r="V34" i="1" s="1"/>
  <c r="U33" i="1"/>
  <c r="U34" i="1" s="1"/>
  <c r="T35" i="1"/>
  <c r="U28" i="1" s="1"/>
  <c r="U29" i="1" s="1"/>
  <c r="U35" i="1" l="1"/>
  <c r="V28" i="1" s="1"/>
  <c r="V29" i="1" s="1"/>
  <c r="V35" i="1" s="1"/>
  <c r="W28" i="1" s="1"/>
  <c r="W29" i="1" s="1"/>
  <c r="W3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<sst xmlns="http://schemas.openxmlformats.org/spreadsheetml/2006/main" count="611" uniqueCount="534">
  <si>
    <t>Difference Between Income and Expenditure</t>
  </si>
  <si>
    <t>Projected Budget 2013/14</t>
  </si>
  <si>
    <t>Adjustments to/from Reserves at Year End</t>
  </si>
  <si>
    <t>Earmarked Reserves</t>
  </si>
  <si>
    <t>On line Payment System inc install + licence</t>
  </si>
  <si>
    <t>4002a</t>
  </si>
  <si>
    <t xml:space="preserve">INACTIVE </t>
  </si>
  <si>
    <t xml:space="preserve">Brook Way hard court/carpark </t>
  </si>
  <si>
    <t>JC Hardcourt repaint surface</t>
  </si>
  <si>
    <t>Grant Income Received - Shown as deferred capital grant within financial statement</t>
  </si>
  <si>
    <t>Grant Income Received- shown as part of grants receivable within financial statement</t>
  </si>
  <si>
    <t xml:space="preserve">Jubilee Green Development </t>
  </si>
  <si>
    <t xml:space="preserve">Skate Park </t>
  </si>
  <si>
    <t>Staffing</t>
  </si>
  <si>
    <t>Office Relocation</t>
  </si>
  <si>
    <t>NEW RESERVE SUB TOTAL</t>
  </si>
  <si>
    <t>TOTAL BUDGETED EXPENDITURE (inc reserves)</t>
  </si>
  <si>
    <t>Mayors Charity</t>
  </si>
  <si>
    <t xml:space="preserve">Misc </t>
  </si>
  <si>
    <t>Office</t>
  </si>
  <si>
    <t>BS Jubilee Centre - rooms</t>
  </si>
  <si>
    <t>Brook Way - rooms</t>
  </si>
  <si>
    <t>Baileys Court - rooms</t>
  </si>
  <si>
    <t>Community Events</t>
  </si>
  <si>
    <t>BS Jubilee Centre - outdoor sports</t>
  </si>
  <si>
    <t>Brook Way - outdoor sports</t>
  </si>
  <si>
    <t>Baileys Court - Outdoor sports</t>
  </si>
  <si>
    <t>Agency reimbursed</t>
  </si>
  <si>
    <t>Loan Capital Receipts</t>
  </si>
  <si>
    <t>Credit charges</t>
  </si>
  <si>
    <t>Sales discounts</t>
  </si>
  <si>
    <t>INCOME SUB TOTAL</t>
  </si>
  <si>
    <t>BSTC (excluding activity centres, planned projects/reserves + assets)</t>
  </si>
  <si>
    <t>DO NOT USE</t>
  </si>
  <si>
    <t>Excludes the mayors charity</t>
  </si>
  <si>
    <t>Public Access Defibrillator</t>
  </si>
  <si>
    <t>New homes bonus Grant funding</t>
  </si>
  <si>
    <t>Computer Hardware - All sites</t>
  </si>
  <si>
    <t>Britain In Bloom Competition</t>
  </si>
  <si>
    <t>Youth Provison (unallocated)</t>
  </si>
  <si>
    <t>Green Resources for all Sites</t>
  </si>
  <si>
    <t>Election reserve</t>
  </si>
  <si>
    <t>Full Budget Funding Shortfall</t>
  </si>
  <si>
    <t>Approved/Estimated Total Precept Income</t>
  </si>
  <si>
    <t>Total Income (exc. precept etc)</t>
  </si>
  <si>
    <t xml:space="preserve">Street Cleanser Vehicle Lease </t>
  </si>
  <si>
    <t>Approved/Projected Total Precept and Local Tax Grant Funding</t>
  </si>
  <si>
    <t>Projected year end position to C/FWD (excluding shortfall funding from year end reserves)</t>
  </si>
  <si>
    <t>Licenses</t>
  </si>
  <si>
    <t>Subscriptions</t>
  </si>
  <si>
    <t>Reports/Publications</t>
  </si>
  <si>
    <t>Advertising/ publishing</t>
  </si>
  <si>
    <t>Newsletter publishing</t>
  </si>
  <si>
    <t>Health &amp; safety</t>
  </si>
  <si>
    <t>Postage</t>
  </si>
  <si>
    <t>Computer support</t>
  </si>
  <si>
    <t>Storage</t>
  </si>
  <si>
    <t>Electric</t>
  </si>
  <si>
    <t>Gas</t>
  </si>
  <si>
    <t>Water/ Sewerage</t>
  </si>
  <si>
    <t>Hygiene disposal (inc dog bins)</t>
  </si>
  <si>
    <t>E-Mail/ Internet</t>
  </si>
  <si>
    <t>Web Charges</t>
  </si>
  <si>
    <t>Street maintenance/repairs (inc bus shelter clean)</t>
  </si>
  <si>
    <t>Office Property repair &amp; maintenance</t>
  </si>
  <si>
    <t>Street vandalism</t>
  </si>
  <si>
    <t>Projected Budget 2014/15</t>
  </si>
  <si>
    <t>Projected Budget 2015/16</t>
  </si>
  <si>
    <t>Office cleaning</t>
  </si>
  <si>
    <t>Playground vandalism</t>
  </si>
  <si>
    <t>Fire &amp; Security</t>
  </si>
  <si>
    <t>Salaries - All sites</t>
  </si>
  <si>
    <t>Employers NI - All Sites</t>
  </si>
  <si>
    <t>Employer pension - All Sites</t>
  </si>
  <si>
    <t>SALARY TOTALS</t>
  </si>
  <si>
    <t>Professional fees</t>
  </si>
  <si>
    <t>Agency Services</t>
  </si>
  <si>
    <t>Training - All Sites</t>
  </si>
  <si>
    <t>Audit fees</t>
  </si>
  <si>
    <t>Insurance - All sites</t>
  </si>
  <si>
    <t>Legal Costs - All sites</t>
  </si>
  <si>
    <t>Gen Exps</t>
  </si>
  <si>
    <t>Chairmans Allowance</t>
  </si>
  <si>
    <t>S137 Exps (Service Level Agreements)</t>
  </si>
  <si>
    <t>Other (NON 137)</t>
  </si>
  <si>
    <t>Mileage - all sites</t>
  </si>
  <si>
    <t>Bank Charges &amp; interest</t>
  </si>
  <si>
    <t>Copier costs</t>
  </si>
  <si>
    <t>Firework Display</t>
  </si>
  <si>
    <t>Community Events                                      (Exc firework display)</t>
  </si>
  <si>
    <t>Village Green maintenance</t>
  </si>
  <si>
    <t>See 9038 + Earmarked Reserves 3070</t>
  </si>
  <si>
    <t>Village Green other costs</t>
  </si>
  <si>
    <t>Bradley Stoke Jubilee Centre</t>
  </si>
  <si>
    <t>Rent/Service</t>
  </si>
  <si>
    <t>Rates</t>
  </si>
  <si>
    <t>General Waste</t>
  </si>
  <si>
    <t>Hygiene supplies/disposal</t>
  </si>
  <si>
    <t>Property repair &amp; maintenance</t>
  </si>
  <si>
    <t>Property vandalism</t>
  </si>
  <si>
    <t>Cleaning contractors</t>
  </si>
  <si>
    <t>Cleaning materials - All sites</t>
  </si>
  <si>
    <t>Ground maintenance</t>
  </si>
  <si>
    <t>Other Gen Exps (eg keys/clothing)</t>
  </si>
  <si>
    <t>Britain in Bloom</t>
  </si>
  <si>
    <t>BS Jubilee Ctr  SUB TOTAL</t>
  </si>
  <si>
    <t>Brook Way</t>
  </si>
  <si>
    <t>Hygiene disposal</t>
  </si>
  <si>
    <t>BROOK WAY SUB TOTAL</t>
  </si>
  <si>
    <t>Baileys Court</t>
  </si>
  <si>
    <t>BAILEYS COURT SUB TOTAL</t>
  </si>
  <si>
    <t>New Assets</t>
  </si>
  <si>
    <t>Postage equipment</t>
  </si>
  <si>
    <t>Playground Equipment</t>
  </si>
  <si>
    <t>Bus shelters</t>
  </si>
  <si>
    <t>Office furniture</t>
  </si>
  <si>
    <t>BS Jubilee Ctr Furniture</t>
  </si>
  <si>
    <t>Brook Way Furniture</t>
  </si>
  <si>
    <t>Baileys Court Furniture</t>
  </si>
  <si>
    <t>H &amp; S Assets</t>
  </si>
  <si>
    <t>Office Equipment</t>
  </si>
  <si>
    <t>BS Jubilee Ctr Equipment</t>
  </si>
  <si>
    <t>Brook Way Equipment</t>
  </si>
  <si>
    <t>Baileys Court Equipment</t>
  </si>
  <si>
    <t>Maintenance Worker + Street Cleanser  - new equipment</t>
  </si>
  <si>
    <t>NEW ASSETS SUB TOTAL</t>
  </si>
  <si>
    <r>
      <t>Planned Projects</t>
    </r>
    <r>
      <rPr>
        <b/>
        <sz val="12"/>
        <rFont val="Arial"/>
        <family val="2"/>
      </rPr>
      <t xml:space="preserve"> - showing major expenditure from earmarked reserves </t>
    </r>
  </si>
  <si>
    <t>Retain Established budget - Includes Xmas cards</t>
  </si>
  <si>
    <t>S137 Exps (general grant Aid &amp; ex-gratias)</t>
  </si>
  <si>
    <t>Copier purchased 2013</t>
  </si>
  <si>
    <t>Youth S137 Exp &amp; SLAs</t>
  </si>
  <si>
    <r>
      <t xml:space="preserve">£11K moved from N/C 3086 for carpark &amp; budget increased for hardcourt into carpark conversion in 2013/14 7 </t>
    </r>
    <r>
      <rPr>
        <u/>
        <sz val="11"/>
        <color indexed="8"/>
        <rFont val="Arial"/>
        <family val="2"/>
      </rPr>
      <t>then moved to N/C 3012 for sites refurbishment for 2014/15 onwards</t>
    </r>
  </si>
  <si>
    <t>BW Development Reserve</t>
  </si>
  <si>
    <t>Maintenance Van Running Costs</t>
  </si>
  <si>
    <t>Youth Equipment</t>
  </si>
  <si>
    <t>Office New Building Work</t>
  </si>
  <si>
    <t>Savages Wood New Building Work</t>
  </si>
  <si>
    <t>Brook Way New Building Work</t>
  </si>
  <si>
    <t>On line payment system inc install + licence</t>
  </si>
  <si>
    <t>PLANNED PROJECTS SUB TOTAL</t>
  </si>
  <si>
    <t>TOTAL BUDGETED EXPENDITURE (exc reserves)</t>
  </si>
  <si>
    <t>Total budget + reserve adjustment</t>
  </si>
  <si>
    <t>S137 Exps (larger grant funding)</t>
  </si>
  <si>
    <t>Allotment Funding</t>
  </si>
  <si>
    <t>All sites CCTV</t>
  </si>
  <si>
    <t>Tree Survey - All sites</t>
  </si>
  <si>
    <r>
      <t xml:space="preserve">Other Gen Exps (eg keys/safety </t>
    </r>
    <r>
      <rPr>
        <sz val="12"/>
        <color indexed="10"/>
        <rFont val="Arial"/>
        <family val="2"/>
      </rPr>
      <t>excludes</t>
    </r>
    <r>
      <rPr>
        <sz val="12"/>
        <rFont val="Arial"/>
        <family val="2"/>
      </rPr>
      <t xml:space="preserve"> clothing)</t>
    </r>
  </si>
  <si>
    <t>Reserve notes</t>
  </si>
  <si>
    <t>Public Works Loan</t>
  </si>
  <si>
    <t>NOTE</t>
  </si>
  <si>
    <t>fixed rate</t>
  </si>
  <si>
    <t>Public works Loan Capital</t>
  </si>
  <si>
    <t>Public Works Loan interest</t>
  </si>
  <si>
    <t>Replace Office Printer</t>
  </si>
  <si>
    <t>Computer Software Upgrading</t>
  </si>
  <si>
    <t>LESS/PLUS:</t>
  </si>
  <si>
    <t>Bank Interest/Investment/Grant Income</t>
  </si>
  <si>
    <t>Projected Budget 2016/17</t>
  </si>
  <si>
    <t>TOTAL GRANT &amp; OTHER  FUNDING</t>
  </si>
  <si>
    <t>Training &amp; Other Income</t>
  </si>
  <si>
    <t>Community Development Grant Aid</t>
  </si>
  <si>
    <t>5077a</t>
  </si>
  <si>
    <t>Non 137 Exps (Service Level agreement)</t>
  </si>
  <si>
    <t>ANNUAL ADJUSTMENT TO EARMARKED RESERVES</t>
  </si>
  <si>
    <t xml:space="preserve">Non Activity Centre Costs </t>
  </si>
  <si>
    <t>INCOME</t>
  </si>
  <si>
    <t xml:space="preserve">New Office Rates </t>
  </si>
  <si>
    <t>Activity Centres Income</t>
  </si>
  <si>
    <t>Training Income</t>
  </si>
  <si>
    <t>% change</t>
  </si>
  <si>
    <t>EXPENDITURE</t>
  </si>
  <si>
    <t>Community/ Firework Events</t>
  </si>
  <si>
    <t>Grants and Other Funding</t>
  </si>
  <si>
    <t>Office Expenditure</t>
  </si>
  <si>
    <t>Activity Centres Running Costs</t>
  </si>
  <si>
    <t xml:space="preserve">Bradley Stoke Jubilee Centre </t>
  </si>
  <si>
    <r>
      <t>Office Rent/Service unit</t>
    </r>
    <r>
      <rPr>
        <sz val="12"/>
        <color indexed="10"/>
        <rFont val="Arial"/>
        <family val="2"/>
      </rPr>
      <t xml:space="preserve">  </t>
    </r>
    <r>
      <rPr>
        <sz val="12"/>
        <rFont val="Arial"/>
        <family val="2"/>
      </rPr>
      <t>6 + 7</t>
    </r>
  </si>
  <si>
    <r>
      <t>All sites</t>
    </r>
    <r>
      <rPr>
        <sz val="12"/>
        <rFont val="Arial"/>
        <family val="2"/>
      </rPr>
      <t xml:space="preserve"> Gen Exps (eg hand towels etc)</t>
    </r>
  </si>
  <si>
    <t xml:space="preserve">Brook Way Activity Centre </t>
  </si>
  <si>
    <t xml:space="preserve">Baileys Court Activity Centre </t>
  </si>
  <si>
    <t>Planned Projects</t>
  </si>
  <si>
    <t xml:space="preserve">New Assets </t>
  </si>
  <si>
    <t>SHORTFALL</t>
  </si>
  <si>
    <t xml:space="preserve">2013/14 Actual Audit Figures </t>
  </si>
  <si>
    <t>Excludes the Mayors Charity</t>
  </si>
  <si>
    <t>All income transferred to Mayor's Charity- N/C 4001</t>
  </si>
  <si>
    <t>see N/C 5022</t>
  </si>
  <si>
    <t>Nominal budget</t>
  </si>
  <si>
    <t xml:space="preserve">In earmarked reserves N/C3018 </t>
  </si>
  <si>
    <t>Youth - Residential Petty Cash Income</t>
  </si>
  <si>
    <t>5500b</t>
  </si>
  <si>
    <t xml:space="preserve">Youth Funding Residential Expenditure </t>
  </si>
  <si>
    <t>Vehicle Replacement</t>
  </si>
  <si>
    <t>Projector/ flipchart &amp; screen hire - NEW</t>
  </si>
  <si>
    <t xml:space="preserve">Precept                                          </t>
  </si>
  <si>
    <t xml:space="preserve">Local Council Tax Revenue Grant                                                                                         </t>
  </si>
  <si>
    <t xml:space="preserve">2013/14 Actuals </t>
  </si>
  <si>
    <t>Contingent reserve</t>
  </si>
  <si>
    <t>Replace Vehicle</t>
  </si>
  <si>
    <t xml:space="preserve"> Youth Positive Activities Expenditure 6</t>
  </si>
  <si>
    <t>2014/15 - See N/C 5046 + 5088. 2014/15 - Carnival repairs one off fee see also N/C4004</t>
  </si>
  <si>
    <t>Village Green Vandalism &amp; other damage</t>
  </si>
  <si>
    <t>Youth Core Expenditure</t>
  </si>
  <si>
    <t>Projector/ flipchart &amp; screen hire</t>
  </si>
  <si>
    <r>
      <t xml:space="preserve">Vehicle purchased March 2013 - </t>
    </r>
    <r>
      <rPr>
        <sz val="10"/>
        <rFont val="Arial"/>
        <family val="2"/>
      </rPr>
      <t>Inactive</t>
    </r>
  </si>
  <si>
    <t xml:space="preserve">2014/15 Actuals </t>
  </si>
  <si>
    <t xml:space="preserve">See N/C 9022 - £1800 grant towards BW cycle path widening approved by Council July 2015 </t>
  </si>
  <si>
    <t>2014/15 Actuals</t>
  </si>
  <si>
    <t>Projector / flipchart &amp; screen reserve - NEW</t>
  </si>
  <si>
    <t>HR Consultancy</t>
  </si>
  <si>
    <t>Phone/Broadband</t>
  </si>
  <si>
    <t>Nominal figure to cover repairs + insurance excesses etc</t>
  </si>
  <si>
    <t>2020/21  % change</t>
  </si>
  <si>
    <t xml:space="preserve">Baileys Court restructure </t>
  </si>
  <si>
    <t>INCOME TOTAL</t>
  </si>
  <si>
    <t>2015/16 Expenditure Audited Year End</t>
  </si>
  <si>
    <t>2021/22  % change</t>
  </si>
  <si>
    <t>No longer valid - See N/C 6046</t>
  </si>
  <si>
    <r>
      <t>Interest on Loan.</t>
    </r>
    <r>
      <rPr>
        <sz val="11"/>
        <color rgb="FFFF0000"/>
        <rFont val="Arial"/>
        <family val="2"/>
      </rPr>
      <t xml:space="preserve"> </t>
    </r>
    <r>
      <rPr>
        <b/>
        <u/>
        <sz val="11"/>
        <color rgb="FFFF0000"/>
        <rFont val="Arial"/>
        <family val="2"/>
      </rPr>
      <t>Final payment due 1/11/2021 ( £395.97 due Nov 2021 final payment)</t>
    </r>
  </si>
  <si>
    <r>
      <t xml:space="preserve">Capital on loan for £235K set up 20 Feb 2012 over 10 years @ 2.05% fixed rate. </t>
    </r>
    <r>
      <rPr>
        <b/>
        <u/>
        <sz val="11"/>
        <color rgb="FFFF0000"/>
        <rFont val="Arial"/>
        <family val="2"/>
      </rPr>
      <t>Final payment due 1/11/2021 (£25,714.83 due Nov 2021 final payment)</t>
    </r>
  </si>
  <si>
    <t>Play area replacements Exc Skate park</t>
  </si>
  <si>
    <t>JC Flood light upgrade to LED</t>
  </si>
  <si>
    <t>JC Flood light LED upgrade from N/C 3082</t>
  </si>
  <si>
    <t>See N/C 3024 -£3236.49 Approved 19 April 17 Finance for actual system and £5K approved in reserves to cover installations + works</t>
  </si>
  <si>
    <t>Youth Funding Grant - Other external funding.</t>
  </si>
  <si>
    <t>2015/16 Actuals</t>
  </si>
  <si>
    <t>2016/17 Actuals</t>
  </si>
  <si>
    <t>2015/16 Income Audited Year End</t>
  </si>
  <si>
    <t>2016/17 Income Audited Year End</t>
  </si>
  <si>
    <t>See N/C 5500b. Sept 17 £315 income received for residentials -  see also N/C 5500 increased by £315</t>
  </si>
  <si>
    <t>Moved to Salary Budgets as approved by council 20/9/17 to fund new recruits</t>
  </si>
  <si>
    <t>Nominal - Reduced based upon historic usage</t>
  </si>
  <si>
    <t xml:space="preserve">Linked to residential income N/C 4013.  </t>
  </si>
  <si>
    <t>Youth Positive Activities Expenditure 4</t>
  </si>
  <si>
    <t>Nominal budget for items not covered within N/C 6072 - Retain budget + 3%</t>
  </si>
  <si>
    <t xml:space="preserve">Nominal Budget </t>
  </si>
  <si>
    <t>Future Budget Reserve to fund future budgets as per forward plan or other approved expenditures</t>
  </si>
  <si>
    <t>Completed June 2012 - INACTIVE</t>
  </si>
  <si>
    <r>
      <t>Skate Park Forward Development Reserve -</t>
    </r>
    <r>
      <rPr>
        <sz val="12"/>
        <color rgb="FFFF0000"/>
        <rFont val="Arial"/>
        <family val="2"/>
      </rPr>
      <t xml:space="preserve"> Approved </t>
    </r>
  </si>
  <si>
    <r>
      <t xml:space="preserve"> Knightstone donated £400 + £950 towards skate park opening ceremony see also N/C 5500  + </t>
    </r>
    <r>
      <rPr>
        <u/>
        <sz val="11"/>
        <color theme="1"/>
        <rFont val="Arial"/>
        <family val="2"/>
      </rPr>
      <t xml:space="preserve">July 2016 Petty Cash income £136.25 also adjusted to N/C 5500. </t>
    </r>
  </si>
  <si>
    <t>Playground repair &amp; maintenance inc skatepark</t>
  </si>
  <si>
    <t xml:space="preserve">Acoustic Boarding </t>
  </si>
  <si>
    <t xml:space="preserve">Loop system </t>
  </si>
  <si>
    <t>Graffitti Equipment</t>
  </si>
  <si>
    <t>Town Beautification</t>
  </si>
  <si>
    <t>Beautification of  Town see N/C 3022 - Nov 2017 Approved £2K</t>
  </si>
  <si>
    <t xml:space="preserve">The tax base and LCTR figures are based upon approved figures provided by Sth Glos in January 2016. The precept was approved by Council in November 2015 with final approval in January 2016. </t>
  </si>
  <si>
    <t xml:space="preserve">The tax base &amp; LCTR figures are based upon approved figures provided by Sth Glos 13/1/15. The Precept was approved by Council in January 2015 </t>
  </si>
  <si>
    <t xml:space="preserve">The tax base and LCTR figures are based upon approved figures provided by Sth Glos in Dec 16. The final precept was approved by Council January 2017 with a 0.5% increase (equivalent to 58p per band D property p/a). </t>
  </si>
  <si>
    <t>Office Telephone System</t>
  </si>
  <si>
    <t>Civic Regalia</t>
  </si>
  <si>
    <t>Feb 2018 Finance approved Office new telephone system @ £2925 from Mainstream - See N/C 3089</t>
  </si>
  <si>
    <t>Purchased from N/C 9033</t>
  </si>
  <si>
    <r>
      <t xml:space="preserve">Strategic Planning Projects </t>
    </r>
    <r>
      <rPr>
        <sz val="12"/>
        <rFont val="Arial"/>
        <family val="2"/>
      </rPr>
      <t xml:space="preserve"> - </t>
    </r>
  </si>
  <si>
    <t>Ground maintenance Equipment</t>
  </si>
  <si>
    <t>2022/23  % change</t>
  </si>
  <si>
    <t>Noticeboards -NEW</t>
  </si>
  <si>
    <t>2017/18 Audited Figures</t>
  </si>
  <si>
    <r>
      <t xml:space="preserve">Sept 18 Council approved replacing 5 noticeboards within the town and 1 new one at skatepark + 1 at Willowbrook up to £15.5K from N/C 3019. </t>
    </r>
    <r>
      <rPr>
        <sz val="11"/>
        <color rgb="FFFF0000"/>
        <rFont val="Arial"/>
        <family val="2"/>
      </rPr>
      <t>£13526.72 tfrd from NC 3019</t>
    </r>
  </si>
  <si>
    <t>Skate Park Replacement /Maintenance Reserve</t>
  </si>
  <si>
    <t>2023/24  % change</t>
  </si>
  <si>
    <t xml:space="preserve"> </t>
  </si>
  <si>
    <t xml:space="preserve">Forward plan aims to achive a balance for a future survey and repairs over the next 5 years. 31.3.15 £1000 tfrd at year end. 31/3/17 £500 tfrd </t>
  </si>
  <si>
    <t>Sept 2015 council approved investigating replacement Chain of Office and to retire &amp; mount the previous chain. Current est = £4K. 20.1.16 - Council approved a reduction from £4K to £1010 after receiving alternative quotes  - See N/C 9046. March 16 £1010 moved to N/C 9046</t>
  </si>
  <si>
    <t>Approved by 19 April 2017 Finance against N/C 9040. £177.50 to N/C £3030 tfrd to 9040. Loop system purchased see N/C 9040 in 2017/18</t>
  </si>
  <si>
    <r>
      <t xml:space="preserve">See N/C 9039 - New skate park build. Oct 2013 LY&amp;A approved £2,850 for geotechnical survey + £350 pre planning application for skatepark to N/C 9039. Aug 2014 LYA approved £5K for pre-tender work to N/C 9039 (switched) + site surveys to n/c 9039 (on hold). Oct 14 LYA approved £5K for tender process work + £1K for JNC documentation + Feb 15 Finance approved allocating unspent youth funds from N/C 5499 + 5500 to the contingency at year end. £9777 MOVED FROM N/C 5499 + £30,616 MOVED FROM N/C 5500. Jan 16 £10,257 + March 16 £33,583 + £32456.34 moved to N/C 9039 to cover payments to date. July 16 £4937.97 moved to N/C 9039 to cover expenditure to date. Aug 2016 £362.03 + Jan 2017 £7.80 moved to N/C 9039 Aug 2016. 31/3/17 - £748.76 tfrd from N/C 3079 to cover skatepark build &amp; £2537.62 moved to N/C 9039 to cover skatepark build cost. 16/5/17 £286.08 tfrd to N/C 9036. </t>
    </r>
    <r>
      <rPr>
        <b/>
        <sz val="11"/>
        <rFont val="Arial"/>
        <family val="2"/>
      </rPr>
      <t>Funds moved fromYouth unallocated reserve N/C 3079 to support skatepark replacement reserve</t>
    </r>
    <r>
      <rPr>
        <sz val="11"/>
        <rFont val="Arial"/>
        <family val="2"/>
      </rPr>
      <t xml:space="preserve">. </t>
    </r>
    <r>
      <rPr>
        <sz val="11"/>
        <color rgb="FFFF0000"/>
        <rFont val="Arial"/>
        <family val="2"/>
      </rPr>
      <t xml:space="preserve">April 19 Finance directed to increase budget to £80K transferring £72,250 from N/C 3079 and aim over time to reach £100K. </t>
    </r>
  </si>
  <si>
    <t xml:space="preserve">2016/17 - JC Woodland Suite = £3865 + 2017/18 - BC Elm room = £5403 + Oak Hall = £5405 from N/C 3012. Nov/Dec 16 approved by council </t>
  </si>
  <si>
    <t>2018/19 Actual as at 16/5/19</t>
  </si>
  <si>
    <t>Youth Other Income</t>
  </si>
  <si>
    <t>2018/19 Actuals @ 16/5/19 figures lodged for audit</t>
  </si>
  <si>
    <r>
      <t>Youth Skate Park - General running costs (excludes maintenance)</t>
    </r>
    <r>
      <rPr>
        <b/>
        <sz val="12"/>
        <color rgb="FFFF3737"/>
        <rFont val="Arial"/>
        <family val="2"/>
      </rPr>
      <t>NEW</t>
    </r>
  </si>
  <si>
    <r>
      <t xml:space="preserve">See also Income N/C 4109 &amp; surplus reserves N/C 3010. 23/1/17 Earmark 9 £181.25 tfrd from N/C 3081. July 19 </t>
    </r>
    <r>
      <rPr>
        <sz val="11"/>
        <color rgb="FFFF0000"/>
        <rFont val="Arial"/>
        <family val="2"/>
      </rPr>
      <t>£508 tfrd from NC 3010 re new flipchart + projector at BW</t>
    </r>
  </si>
  <si>
    <t xml:space="preserve"> DETAILS </t>
  </si>
  <si>
    <r>
      <t>See Reserves N/C 3019 -</t>
    </r>
    <r>
      <rPr>
        <sz val="11"/>
        <color rgb="FFFF0000"/>
        <rFont val="Arial"/>
        <family val="2"/>
      </rPr>
      <t xml:space="preserve"> July 2020 Council approved £2100 for Webbs Wood Rd bus shelter N/C 3019/9021</t>
    </r>
  </si>
  <si>
    <r>
      <t>Based on current expenditure est £100 p/m. J</t>
    </r>
    <r>
      <rPr>
        <sz val="11"/>
        <color rgb="FFFF0000"/>
        <rFont val="Arial"/>
        <family val="2"/>
      </rPr>
      <t>une 2020 approved reduction from £1273 to £500 based upon historic figures</t>
    </r>
  </si>
  <si>
    <r>
      <t xml:space="preserve">Nominal - Retain 2017/18 budget.  </t>
    </r>
    <r>
      <rPr>
        <sz val="11"/>
        <color rgb="FFFF0000"/>
        <rFont val="Arial"/>
        <family val="2"/>
      </rPr>
      <t>June 2020 Finance Reduced from £1000 to £500 based on historic figures</t>
    </r>
  </si>
  <si>
    <t>Approved by 2016 Strategic Planning - New reserve to be set against ground maintenance new equipment/ repairs etc - see N/C 9030-9033. April 18 Finance approved £6K reserve at 17/18 year end. 29/6/18 - Council approved by email - £2800 Aerator for wicket from N/C 9032. April 19 Finance approved moving 2019/20 budget into 2018/19 at year end</t>
  </si>
  <si>
    <r>
      <t xml:space="preserve">Nov 16 Council approved spending up to £30K on shipping container development from N/C 3079- increased to £38K by March 2017 council - see N/C 9039. 31.3.17 £38K tfrd from N/C 3079. April 2018 year end adjustment. </t>
    </r>
    <r>
      <rPr>
        <u/>
        <sz val="11"/>
        <color theme="1"/>
        <rFont val="Arial"/>
        <family val="2"/>
      </rPr>
      <t>LYA Feb 2018 approved £3.5K for toilet = £41.5K .June 2018 Finance approved additional £9K for skatepark for groundworks + installion costs</t>
    </r>
    <r>
      <rPr>
        <sz val="11"/>
        <color theme="1"/>
        <rFont val="Arial"/>
        <family val="2"/>
      </rPr>
      <t xml:space="preserve"> = £50.5K to N/C 9039. Oct 18 £41K tfrd to N/C 9039 to cover expenditure. </t>
    </r>
    <r>
      <rPr>
        <b/>
        <sz val="11"/>
        <color theme="1"/>
        <rFont val="Arial"/>
        <family val="2"/>
      </rPr>
      <t>31/3/19 £3,391.38 tfrd to N/C 9039. £274.63 tfd to NC 3080 re TV</t>
    </r>
    <r>
      <rPr>
        <sz val="11"/>
        <color theme="1"/>
        <rFont val="Arial"/>
        <family val="2"/>
      </rPr>
      <t xml:space="preserve">. </t>
    </r>
    <r>
      <rPr>
        <sz val="11"/>
        <color rgb="FFFF0000"/>
        <rFont val="Arial"/>
        <family val="2"/>
      </rPr>
      <t xml:space="preserve"> June 2020 Finance Adjusted at year end from £850 to Nil</t>
    </r>
  </si>
  <si>
    <r>
      <t xml:space="preserve">Retain budget. </t>
    </r>
    <r>
      <rPr>
        <sz val="11"/>
        <color rgb="FFFF0000"/>
        <rFont val="Arial"/>
        <family val="2"/>
      </rPr>
      <t>Budget updated June 2020</t>
    </r>
  </si>
  <si>
    <r>
      <t xml:space="preserve">Maintain 2015/16 budget based upon current performance. </t>
    </r>
    <r>
      <rPr>
        <sz val="11"/>
        <color rgb="FFFF0000"/>
        <rFont val="Arial"/>
        <family val="2"/>
      </rPr>
      <t>October 20 - Increase to £535 re Playground training from Stoke Gifford against N/C 5068</t>
    </r>
  </si>
  <si>
    <t>Election costs (inc by-election)</t>
  </si>
  <si>
    <r>
      <t>2021/22 Based upon historic usage&amp; R</t>
    </r>
    <r>
      <rPr>
        <b/>
        <sz val="11"/>
        <rFont val="Arial"/>
        <family val="2"/>
      </rPr>
      <t>eduction due to motion sensor taps in ladies WC</t>
    </r>
    <r>
      <rPr>
        <sz val="11"/>
        <rFont val="Arial"/>
        <family val="2"/>
      </rPr>
      <t xml:space="preserve">.  </t>
    </r>
    <r>
      <rPr>
        <sz val="11"/>
        <color rgb="FFFF0000"/>
        <rFont val="Arial"/>
        <family val="2"/>
      </rPr>
      <t>June 2020 Finance Reduce from £2502 to £2K based upon historic figures</t>
    </r>
  </si>
  <si>
    <r>
      <t>2021/22 Based upon historic usage &amp;</t>
    </r>
    <r>
      <rPr>
        <b/>
        <sz val="11"/>
        <rFont val="Arial"/>
        <family val="2"/>
      </rPr>
      <t xml:space="preserve">  Reduction due to motion sensor taps in gents WC</t>
    </r>
    <r>
      <rPr>
        <sz val="11"/>
        <rFont val="Arial"/>
        <family val="2"/>
      </rPr>
      <t xml:space="preserve">. </t>
    </r>
    <r>
      <rPr>
        <sz val="11"/>
        <color rgb="FFFF0000"/>
        <rFont val="Arial"/>
        <family val="2"/>
      </rPr>
      <t xml:space="preserve"> June 2020 Finance Reduced from £551 to £300 due to motion sensor installation</t>
    </r>
  </si>
  <si>
    <t>Total Youth Main Expenditure</t>
  </si>
  <si>
    <r>
      <t xml:space="preserve">Resurface + paint JC hard courts cost £10,600 in 2007 may need to be implemented in next 5 years. Aim to reserve £12K within this period. Sept 2012 Strategic Planning - retain £35K budget &amp; consider increasing at 2012/13 year end.Dec 2012 Finance approved £12K for JC &amp; £11K for BW hardcourt resurface + paint. 31/3/17 £3500 tfrd out to better reflect future cost. Budget adjusted based upon 2016 clean at JC costing £6130. </t>
    </r>
    <r>
      <rPr>
        <sz val="11"/>
        <color rgb="FFFF0000"/>
        <rFont val="Arial"/>
        <family val="2"/>
      </rPr>
      <t>Nov 20 approved £8903 to resurface JC courts and install pickleball markings on 2 courts . Balance from JC budgets- see NC 6046</t>
    </r>
    <r>
      <rPr>
        <sz val="11"/>
        <rFont val="Arial"/>
        <family val="2"/>
      </rPr>
      <t xml:space="preserve"> </t>
    </r>
  </si>
  <si>
    <t>This projection is partly based upon estimated annual percentage increases and as a living document does not represent a firm future position or intention. Council carefully consider the full budget position on an annual basis prior to approval and use this document as a guideline only to ensure that Council's aims and objectives are included within acceptable margins which would not produce unmanageable year end shortfalls. Any unallocated surplus funds remaining at year end are placed within the unallocated earmarked reserves in order to fund future projects or within the Future Budget Reserve to manage future deficits and therefore manage and subsidise future precept levels.</t>
  </si>
  <si>
    <t>The tax base and LCTR figures are based upon approved figures from Sth Glos in Dec 2017. The final precept was approved by Council in January 2018 with a 0% increase.</t>
  </si>
  <si>
    <t>The tax base and LCTR figures are based upon approved figures from Sth Glos in Dec 2018. The final precept was approved by Council in January 2019 with a 0% increase.</t>
  </si>
  <si>
    <t>The tax base and LCTR figures are based upon approved figures from Sth Glos in Dec 2019. The final precept was approved by Council in January 2020 with a 1% increase.</t>
  </si>
  <si>
    <t>2024.25  % change</t>
  </si>
  <si>
    <t>2025/26  % change</t>
  </si>
  <si>
    <t xml:space="preserve">Total Expenditure as per budget </t>
  </si>
  <si>
    <t xml:space="preserve"> 2019/20 - Audited Figures</t>
  </si>
  <si>
    <t>2019/20 Audited Figures</t>
  </si>
  <si>
    <t>Excluded as Distributed at year end</t>
  </si>
  <si>
    <r>
      <rPr>
        <sz val="11"/>
        <rFont val="Arial"/>
        <family val="2"/>
      </rPr>
      <t xml:space="preserve">Tied into fixed price until 31/10/18. Budget based upon usage 17/10/16-30/10/17 = £1580 + 5% contingency = </t>
    </r>
    <r>
      <rPr>
        <b/>
        <sz val="11"/>
        <rFont val="Arial"/>
        <family val="2"/>
      </rPr>
      <t xml:space="preserve">£1650 + </t>
    </r>
    <r>
      <rPr>
        <sz val="11"/>
        <rFont val="Arial"/>
        <family val="2"/>
      </rPr>
      <t xml:space="preserve">10%  uplift for new contract in Oct 2018. JC New 3 year contract agreed 24/9/18 to run 1/11/18 - 2021 = £5,286 + KVA </t>
    </r>
    <r>
      <rPr>
        <u/>
        <sz val="11"/>
        <rFont val="Arial"/>
        <family val="2"/>
      </rPr>
      <t>including office</t>
    </r>
    <r>
      <rPr>
        <sz val="11"/>
        <rFont val="Arial"/>
        <family val="2"/>
      </rPr>
      <t xml:space="preserve"> - Council advised 10/10/18. June 2020 Finance approved budget increase from £1480 to £1700 based on 2019/20 actuals.</t>
    </r>
    <r>
      <rPr>
        <sz val="11"/>
        <color rgb="FFFF0000"/>
        <rFont val="Arial"/>
        <family val="2"/>
      </rPr>
      <t xml:space="preserve"> </t>
    </r>
    <r>
      <rPr>
        <b/>
        <sz val="11"/>
        <color rgb="FFFF0000"/>
        <rFont val="Arial"/>
        <family val="2"/>
      </rPr>
      <t>Oct 20 Budget of £1700 moved to N/C 6030 as bills not apportioned between office and JC</t>
    </r>
  </si>
  <si>
    <r>
      <rPr>
        <sz val="11"/>
        <rFont val="Arial"/>
        <family val="2"/>
      </rPr>
      <t xml:space="preserve">Tied into fixed price until 31/10/18. Budget based upon usage 1/9/16-7/8/17 = £1107 + 5% contingency = </t>
    </r>
    <r>
      <rPr>
        <b/>
        <sz val="11"/>
        <rFont val="Arial"/>
        <family val="2"/>
      </rPr>
      <t xml:space="preserve">1270 </t>
    </r>
    <r>
      <rPr>
        <sz val="11"/>
        <rFont val="Arial"/>
        <family val="2"/>
      </rPr>
      <t xml:space="preserve">+ 10 % uplift for new contract in Oct 2018. JC New 3 year contract agreed 24/9/18 to run 1/11/18 - 2021 = £6372.28 </t>
    </r>
    <r>
      <rPr>
        <u/>
        <sz val="11"/>
        <rFont val="Arial"/>
        <family val="2"/>
      </rPr>
      <t>including office</t>
    </r>
    <r>
      <rPr>
        <sz val="11"/>
        <rFont val="Arial"/>
        <family val="2"/>
      </rPr>
      <t xml:space="preserve"> - Council advised 10/10/18. June 2020 Finance approved budget reduced from £1600 to £1000 based on 2018/19 + 2019/20 actuals . </t>
    </r>
    <r>
      <rPr>
        <b/>
        <sz val="11"/>
        <color rgb="FFFF0000"/>
        <rFont val="Arial"/>
        <family val="2"/>
      </rPr>
      <t>Oct 20 Budget of £1000 moved to N/C 6030 as bills not apportioned between ofifce and JC</t>
    </r>
  </si>
  <si>
    <r>
      <rPr>
        <b/>
        <u/>
        <sz val="11"/>
        <rFont val="Arial"/>
        <family val="2"/>
      </rPr>
      <t>Street Art Taster Sessions = £960 Max Paid March 2021</t>
    </r>
    <r>
      <rPr>
        <sz val="11"/>
        <rFont val="Arial"/>
        <family val="2"/>
      </rPr>
      <t xml:space="preserve"> - Total for salaries £600 fixed &amp; total for activities up to £360 - See N/C 5513</t>
    </r>
  </si>
  <si>
    <r>
      <rPr>
        <b/>
        <u/>
        <sz val="11"/>
        <rFont val="Arial"/>
        <family val="2"/>
      </rPr>
      <t xml:space="preserve">Street Art - The Big Paint = £960 Max Paid March 2021 </t>
    </r>
    <r>
      <rPr>
        <sz val="11"/>
        <rFont val="Arial"/>
        <family val="2"/>
      </rPr>
      <t xml:space="preserve"> - Total for salaries £600 fixed &amp; total for activities up to £360</t>
    </r>
  </si>
  <si>
    <r>
      <t xml:space="preserve">Reduce budget for 2017/18 &amp; May also be required for planned additional fixed term youth workers although external funding may be achieved. Dec 16 approved reduction to £3500. </t>
    </r>
    <r>
      <rPr>
        <sz val="11"/>
        <color rgb="FFFF0000"/>
        <rFont val="Arial"/>
        <family val="2"/>
      </rPr>
      <t>Oct 20 -  Increase by £1100 to cover additional cost of AAT training for Finance</t>
    </r>
    <r>
      <rPr>
        <sz val="11"/>
        <rFont val="Arial"/>
        <family val="2"/>
      </rPr>
      <t xml:space="preserve"> </t>
    </r>
    <r>
      <rPr>
        <sz val="11"/>
        <color rgb="FFFF0000"/>
        <rFont val="Arial"/>
        <family val="2"/>
      </rPr>
      <t xml:space="preserve">Officer  see also NC 4009 re training income. Nov 21 reduce 2021/22 + 2022/23 budgets from £4.5K to £3.5K based upon current and historic performance </t>
    </r>
  </si>
  <si>
    <r>
      <rPr>
        <sz val="11"/>
        <color rgb="FFFF0000"/>
        <rFont val="Arial"/>
        <family val="2"/>
      </rPr>
      <t xml:space="preserve">TV </t>
    </r>
    <r>
      <rPr>
        <b/>
        <sz val="11"/>
        <color rgb="FFFF0000"/>
        <rFont val="Arial"/>
        <family val="2"/>
      </rPr>
      <t>£160 +</t>
    </r>
    <r>
      <rPr>
        <sz val="11"/>
        <color rgb="FFFF0000"/>
        <rFont val="Arial"/>
        <family val="2"/>
      </rPr>
      <t xml:space="preserve">  premises Licence est £</t>
    </r>
    <r>
      <rPr>
        <b/>
        <sz val="11"/>
        <color rgb="FFFF0000"/>
        <rFont val="Arial"/>
        <family val="2"/>
      </rPr>
      <t>180</t>
    </r>
    <r>
      <rPr>
        <sz val="11"/>
        <color rgb="FFFF0000"/>
        <rFont val="Arial"/>
        <family val="2"/>
      </rPr>
      <t xml:space="preserve"> + Actual PPL/PRS =</t>
    </r>
    <r>
      <rPr>
        <b/>
        <sz val="11"/>
        <color rgb="FFFF0000"/>
        <rFont val="Arial"/>
        <family val="2"/>
      </rPr>
      <t xml:space="preserve"> £711 + 3%</t>
    </r>
    <r>
      <rPr>
        <sz val="11"/>
        <color rgb="FFFF0000"/>
        <rFont val="Arial"/>
        <family val="2"/>
      </rPr>
      <t xml:space="preserve">, MPL = </t>
    </r>
    <r>
      <rPr>
        <b/>
        <sz val="11"/>
        <color rgb="FFFF0000"/>
        <rFont val="Arial"/>
        <family val="2"/>
      </rPr>
      <t xml:space="preserve">£174 + 3% = £1225. </t>
    </r>
    <r>
      <rPr>
        <sz val="11"/>
        <color rgb="FFFF0000"/>
        <rFont val="Arial"/>
        <family val="2"/>
      </rPr>
      <t>Nov 21 Increase budget from £1150 to £1225</t>
    </r>
    <r>
      <rPr>
        <sz val="11"/>
        <rFont val="Arial"/>
        <family val="2"/>
      </rPr>
      <t xml:space="preserve">. </t>
    </r>
    <r>
      <rPr>
        <b/>
        <sz val="11"/>
        <color rgb="FFFF0000"/>
        <rFont val="Arial"/>
        <family val="2"/>
      </rPr>
      <t xml:space="preserve">2022/23 TV £160 +  premises Licence est £180 + Actual PPL/PRS = £711, MPL = £174 = £1250 + contingency £100 </t>
    </r>
  </si>
  <si>
    <t>All Sites Refurbishment Project</t>
  </si>
  <si>
    <t>2026/27  % change</t>
  </si>
  <si>
    <t>All Sites Stationery</t>
  </si>
  <si>
    <t>2020/21              Audited Figures</t>
  </si>
  <si>
    <r>
      <t>Community Brightside Projects -</t>
    </r>
    <r>
      <rPr>
        <u/>
        <sz val="11"/>
        <rFont val="Arial"/>
        <family val="2"/>
      </rPr>
      <t xml:space="preserve"> Covid Explored - £500 paid 9/3/22 - See NC 5515</t>
    </r>
  </si>
  <si>
    <t>Printer &amp; consumables (cartridges/paper)</t>
  </si>
  <si>
    <r>
      <t xml:space="preserve">External annual audit est - </t>
    </r>
    <r>
      <rPr>
        <b/>
        <sz val="11"/>
        <rFont val="Arial"/>
        <family val="2"/>
      </rPr>
      <t>£2000</t>
    </r>
    <r>
      <rPr>
        <sz val="11"/>
        <rFont val="Arial"/>
        <family val="2"/>
      </rPr>
      <t xml:space="preserve">, DCK Beavers Accounting est </t>
    </r>
    <r>
      <rPr>
        <b/>
        <sz val="11"/>
        <rFont val="Arial"/>
        <family val="2"/>
      </rPr>
      <t>£800</t>
    </r>
    <r>
      <rPr>
        <sz val="11"/>
        <rFont val="Arial"/>
        <family val="2"/>
      </rPr>
      <t xml:space="preserve">, Sth Glos internal audit rolling contract based upon 3 days @ £224 per day (2016/17) + pay uplift + £30 p/h additionals </t>
    </r>
    <r>
      <rPr>
        <b/>
        <sz val="11"/>
        <rFont val="Arial"/>
        <family val="2"/>
      </rPr>
      <t xml:space="preserve">= </t>
    </r>
    <r>
      <rPr>
        <sz val="11"/>
        <rFont val="Arial"/>
        <family val="2"/>
      </rPr>
      <t>£750</t>
    </r>
    <r>
      <rPr>
        <b/>
        <sz val="11"/>
        <rFont val="Arial"/>
        <family val="2"/>
      </rPr>
      <t xml:space="preserve"> +</t>
    </r>
    <r>
      <rPr>
        <sz val="11"/>
        <rFont val="Arial"/>
        <family val="2"/>
      </rPr>
      <t xml:space="preserve"> 3% = </t>
    </r>
    <r>
      <rPr>
        <b/>
        <sz val="11"/>
        <rFont val="Arial"/>
        <family val="2"/>
      </rPr>
      <t>£780</t>
    </r>
    <r>
      <rPr>
        <sz val="11"/>
        <rFont val="Arial"/>
        <family val="2"/>
      </rPr>
      <t xml:space="preserve"> + contingency est </t>
    </r>
    <r>
      <rPr>
        <b/>
        <sz val="11"/>
        <rFont val="Arial"/>
        <family val="2"/>
      </rPr>
      <t>£250</t>
    </r>
    <r>
      <rPr>
        <sz val="11"/>
        <rFont val="Arial"/>
        <family val="2"/>
      </rPr>
      <t xml:space="preserve">. 13/3/19 Council approved Sth Glos Internal Audit for another 3 year contract ending after 2021/22. </t>
    </r>
    <r>
      <rPr>
        <b/>
        <sz val="11"/>
        <color rgb="FFFF3737"/>
        <rFont val="Arial"/>
        <family val="2"/>
      </rPr>
      <t>March 22 approved Sth Glos Internal Audit - 3 year contract to 2024/25 audit</t>
    </r>
  </si>
  <si>
    <r>
      <t xml:space="preserve">Youth Grant Funding 14 -South Glos Youth Endowment Fund 2020.21 </t>
    </r>
    <r>
      <rPr>
        <b/>
        <sz val="12"/>
        <color rgb="FFFF3737"/>
        <rFont val="Arial"/>
        <family val="2"/>
      </rPr>
      <t xml:space="preserve">- </t>
    </r>
  </si>
  <si>
    <r>
      <t>Community Brightside Projects -</t>
    </r>
    <r>
      <rPr>
        <u/>
        <sz val="11"/>
        <rFont val="Arial"/>
        <family val="2"/>
      </rPr>
      <t xml:space="preserve"> Covid Explored - £500 paid 9/3/22 - See NC 4515</t>
    </r>
    <r>
      <rPr>
        <b/>
        <u/>
        <sz val="11"/>
        <rFont val="Arial"/>
        <family val="2"/>
      </rPr>
      <t>.</t>
    </r>
    <r>
      <rPr>
        <b/>
        <u/>
        <sz val="11"/>
        <color rgb="FFFF0000"/>
        <rFont val="Arial"/>
        <family val="2"/>
      </rPr>
      <t xml:space="preserve"> £500 c/fwd to 2022/23</t>
    </r>
  </si>
  <si>
    <t>OFFICE &amp; OTHER SUB TOTAL</t>
  </si>
  <si>
    <r>
      <t xml:space="preserve">Mileage @ 50.5P per mile under NALC guidelines. This figure was agreed by Council over 4 years ago &amp; will be maintained until IR increase above this level. Budget based upon current performance + historic usage over prior year. </t>
    </r>
    <r>
      <rPr>
        <sz val="11"/>
        <color rgb="FFFF0000"/>
        <rFont val="Arial"/>
        <family val="2"/>
      </rPr>
      <t>June 2020 agreed reduction from £14489 to £1K based upon historic figures</t>
    </r>
    <r>
      <rPr>
        <sz val="11"/>
        <rFont val="Arial"/>
        <family val="2"/>
      </rPr>
      <t>.</t>
    </r>
    <r>
      <rPr>
        <b/>
        <sz val="11"/>
        <rFont val="Arial"/>
        <family val="2"/>
      </rPr>
      <t xml:space="preserve"> May 22 decreased to £1K</t>
    </r>
  </si>
  <si>
    <t>2021/22 Audited Figures</t>
  </si>
  <si>
    <r>
      <t>See earmarked reserves N/C 3023. Sept 2017 council approved up to £15.8k expenditure &amp; Updated March 19 - Updated March 19 - Chairs approved £15.8K inc VAT - £13.2K tfr to N/C 9054 31/3/19 for Mitsubishi purchase.</t>
    </r>
    <r>
      <rPr>
        <sz val="11"/>
        <color rgb="FFFF0000"/>
        <rFont val="Arial"/>
        <family val="2"/>
      </rPr>
      <t xml:space="preserve"> Aug 22 Finance approved new vehicle @ £32990 (exc 1st registration @ £55) funded from NC 3023.</t>
    </r>
    <r>
      <rPr>
        <sz val="11"/>
        <rFont val="Arial"/>
        <family val="2"/>
      </rPr>
      <t xml:space="preserve"> </t>
    </r>
    <r>
      <rPr>
        <b/>
        <sz val="11"/>
        <rFont val="Arial"/>
        <family val="2"/>
      </rPr>
      <t>Sept 22 - £807.96 tfrd from NC 3023 to cover part of Chapter 8 costs</t>
    </r>
  </si>
  <si>
    <t>Sth Glos External youth Funding -   Expenditure 12</t>
  </si>
  <si>
    <r>
      <t xml:space="preserve">Vehicle nolonger used wef  April 2022 following arson attach. </t>
    </r>
    <r>
      <rPr>
        <sz val="11"/>
        <color rgb="FFFF0000"/>
        <rFont val="Arial"/>
        <family val="2"/>
      </rPr>
      <t>Dec 22 - delete budget as no longer required</t>
    </r>
  </si>
  <si>
    <t>Council Vehicle running Costs</t>
  </si>
  <si>
    <t>JC - Cleaning contractors</t>
  </si>
  <si>
    <r>
      <t xml:space="preserve">Nov 19 Council approved new contract @ </t>
    </r>
    <r>
      <rPr>
        <b/>
        <sz val="11"/>
        <rFont val="Arial"/>
        <family val="2"/>
      </rPr>
      <t xml:space="preserve">£8846.88 for 2 years </t>
    </r>
    <r>
      <rPr>
        <sz val="11"/>
        <rFont val="Arial"/>
        <family val="2"/>
      </rPr>
      <t xml:space="preserve">and then £9205.10 in year 3 - 5/11/19 - 4/11/22 + </t>
    </r>
    <r>
      <rPr>
        <b/>
        <sz val="11"/>
        <rFont val="Arial"/>
        <family val="2"/>
      </rPr>
      <t>£600</t>
    </r>
    <r>
      <rPr>
        <sz val="11"/>
        <rFont val="Arial"/>
        <family val="2"/>
      </rPr>
      <t xml:space="preserve"> additionals + windows £20 per 6 weeks = £180 + 3% = </t>
    </r>
    <r>
      <rPr>
        <b/>
        <sz val="11"/>
        <rFont val="Arial"/>
        <family val="2"/>
      </rPr>
      <t>£190</t>
    </r>
    <r>
      <rPr>
        <sz val="11"/>
        <rFont val="Arial"/>
        <family val="2"/>
      </rPr>
      <t>. June 2020 Finance agreed budget reduced to £9527. Dec 20 - Council advised year 3 uplift is to be removed and price frozen at</t>
    </r>
    <r>
      <rPr>
        <b/>
        <sz val="11"/>
        <rFont val="Arial"/>
        <family val="2"/>
      </rPr>
      <t xml:space="preserve"> £8846.88</t>
    </r>
    <r>
      <rPr>
        <sz val="11"/>
        <rFont val="Arial"/>
        <family val="2"/>
      </rPr>
      <t xml:space="preserve"> until November 2022.                                                                                                                                       </t>
    </r>
    <r>
      <rPr>
        <b/>
        <u/>
        <sz val="11"/>
        <color rgb="FFFF0000"/>
        <rFont val="Arial"/>
        <family val="2"/>
      </rPr>
      <t xml:space="preserve">2022/23 </t>
    </r>
    <r>
      <rPr>
        <u/>
        <sz val="11"/>
        <color rgb="FFFF0000"/>
        <rFont val="Arial"/>
        <family val="2"/>
      </rPr>
      <t xml:space="preserve">- </t>
    </r>
    <r>
      <rPr>
        <sz val="11"/>
        <color rgb="FFFF0000"/>
        <rFont val="Arial"/>
        <family val="2"/>
      </rPr>
      <t>Main contract ends Nov 22 or before- est £9205 + 25% =£11506</t>
    </r>
    <r>
      <rPr>
        <b/>
        <sz val="11"/>
        <color rgb="FFFF0000"/>
        <rFont val="Arial"/>
        <family val="2"/>
      </rPr>
      <t xml:space="preserve">  </t>
    </r>
    <r>
      <rPr>
        <sz val="11"/>
        <color rgb="FFFF0000"/>
        <rFont val="Arial"/>
        <family val="2"/>
      </rPr>
      <t xml:space="preserve">+ £600 additionals + windows £20 per 6 weeks = £180 + 3% = £190.for 2022/23 &amp; 3% onwards                                                                                                                                                                    </t>
    </r>
    <r>
      <rPr>
        <b/>
        <u/>
        <sz val="11"/>
        <rFont val="Arial"/>
        <family val="2"/>
      </rPr>
      <t>2023/24</t>
    </r>
    <r>
      <rPr>
        <b/>
        <sz val="11"/>
        <rFont val="Arial"/>
        <family val="2"/>
      </rPr>
      <t xml:space="preserve"> - </t>
    </r>
    <r>
      <rPr>
        <sz val="11"/>
        <rFont val="Arial"/>
        <family val="2"/>
      </rPr>
      <t xml:space="preserve">Nov 22 Council approved new cleaning contract with Concord Homecare on 3 month probation within 3 year contract (1/12/22 – 30/11/25) – The split between the office/JC and CR is confirmed @ </t>
    </r>
    <r>
      <rPr>
        <b/>
        <sz val="11"/>
        <rFont val="Arial"/>
        <family val="2"/>
      </rPr>
      <t>£14,586 p/a for 17 hours p/w</t>
    </r>
    <r>
      <rPr>
        <sz val="11"/>
        <rFont val="Arial"/>
        <family val="2"/>
      </rPr>
      <t xml:space="preserve">  + window cleaning on 6 weekly cycles = £60 x 9 = </t>
    </r>
    <r>
      <rPr>
        <b/>
        <sz val="11"/>
        <rFont val="Arial"/>
        <family val="2"/>
      </rPr>
      <t>£540</t>
    </r>
    <r>
      <rPr>
        <sz val="11"/>
        <rFont val="Arial"/>
        <family val="2"/>
      </rPr>
      <t xml:space="preserve"> + contingency </t>
    </r>
    <r>
      <rPr>
        <b/>
        <sz val="11"/>
        <rFont val="Arial"/>
        <family val="2"/>
      </rPr>
      <t xml:space="preserve">£500               </t>
    </r>
    <r>
      <rPr>
        <b/>
        <sz val="11"/>
        <color rgb="FFFF0000"/>
        <rFont val="Arial"/>
        <family val="2"/>
      </rPr>
      <t xml:space="preserve">   </t>
    </r>
  </si>
  <si>
    <r>
      <t xml:space="preserve">Nov 19 Council Monelles approved new contract @ </t>
    </r>
    <r>
      <rPr>
        <b/>
        <sz val="11"/>
        <rFont val="Arial"/>
        <family val="2"/>
      </rPr>
      <t>£7800 for 2 years</t>
    </r>
    <r>
      <rPr>
        <sz val="11"/>
        <rFont val="Arial"/>
        <family val="2"/>
      </rPr>
      <t xml:space="preserve"> and then £8300 in year 3 - 5/11/19 - 4/11/22 + </t>
    </r>
    <r>
      <rPr>
        <b/>
        <sz val="11"/>
        <rFont val="Arial"/>
        <family val="2"/>
      </rPr>
      <t>£600</t>
    </r>
    <r>
      <rPr>
        <sz val="11"/>
        <rFont val="Arial"/>
        <family val="2"/>
      </rPr>
      <t xml:space="preserve"> additionals. June 20 increased budget from £7800 to £8300 due to new contract. Dec 20 - Council advised year 3 uplift is to be removed and price frozen at </t>
    </r>
    <r>
      <rPr>
        <b/>
        <sz val="11"/>
        <rFont val="Arial"/>
        <family val="2"/>
      </rPr>
      <t>£7800</t>
    </r>
    <r>
      <rPr>
        <sz val="11"/>
        <rFont val="Arial"/>
        <family val="2"/>
      </rPr>
      <t xml:space="preserve"> until November 2022.                         </t>
    </r>
    <r>
      <rPr>
        <b/>
        <u/>
        <sz val="11"/>
        <rFont val="Arial"/>
        <family val="2"/>
      </rPr>
      <t xml:space="preserve">  </t>
    </r>
    <r>
      <rPr>
        <b/>
        <u/>
        <sz val="11"/>
        <color rgb="FFFF3737"/>
        <rFont val="Arial"/>
        <family val="2"/>
      </rPr>
      <t xml:space="preserve"> 2022/23</t>
    </r>
    <r>
      <rPr>
        <sz val="11"/>
        <color rgb="FFFF3737"/>
        <rFont val="Arial"/>
        <family val="2"/>
      </rPr>
      <t xml:space="preserve"> - Main contract ends Nov 22 or before- est £8300 + 25% =</t>
    </r>
    <r>
      <rPr>
        <b/>
        <sz val="11"/>
        <color rgb="FFFF3737"/>
        <rFont val="Arial"/>
        <family val="2"/>
      </rPr>
      <t xml:space="preserve">£10,375 </t>
    </r>
    <r>
      <rPr>
        <sz val="11"/>
        <color rgb="FFFF3737"/>
        <rFont val="Arial"/>
        <family val="2"/>
      </rPr>
      <t xml:space="preserve"> + </t>
    </r>
    <r>
      <rPr>
        <b/>
        <sz val="11"/>
        <color rgb="FFFF3737"/>
        <rFont val="Arial"/>
        <family val="2"/>
      </rPr>
      <t>£600</t>
    </r>
    <r>
      <rPr>
        <sz val="11"/>
        <color rgb="FFFF3737"/>
        <rFont val="Arial"/>
        <family val="2"/>
      </rPr>
      <t xml:space="preserve"> additionals &amp; 3% onwards</t>
    </r>
    <r>
      <rPr>
        <sz val="11"/>
        <rFont val="Arial"/>
        <family val="2"/>
      </rPr>
      <t xml:space="preserve">                                                                                                        </t>
    </r>
    <r>
      <rPr>
        <b/>
        <u/>
        <sz val="11"/>
        <rFont val="Arial"/>
        <family val="2"/>
      </rPr>
      <t xml:space="preserve">2023/24 </t>
    </r>
    <r>
      <rPr>
        <sz val="11"/>
        <rFont val="Arial"/>
        <family val="2"/>
      </rPr>
      <t xml:space="preserve">  New contract agreed Nov 22 Concord Homecare @ </t>
    </r>
    <r>
      <rPr>
        <b/>
        <sz val="11"/>
        <rFont val="Arial"/>
        <family val="2"/>
      </rPr>
      <t>£8,580</t>
    </r>
    <r>
      <rPr>
        <sz val="11"/>
        <rFont val="Arial"/>
        <family val="2"/>
      </rPr>
      <t xml:space="preserve"> p/a for 10 hours p/w fixed for 3 years (1/12/22 - 30/11/25) + window cleaning on 6 week cycles = 9 x £50 = </t>
    </r>
    <r>
      <rPr>
        <b/>
        <sz val="11"/>
        <rFont val="Arial"/>
        <family val="2"/>
      </rPr>
      <t xml:space="preserve">£450 </t>
    </r>
    <r>
      <rPr>
        <sz val="11"/>
        <rFont val="Arial"/>
        <family val="2"/>
      </rPr>
      <t xml:space="preserve">p/a + contingency </t>
    </r>
    <r>
      <rPr>
        <b/>
        <sz val="11"/>
        <rFont val="Arial"/>
        <family val="2"/>
      </rPr>
      <t>£500</t>
    </r>
    <r>
      <rPr>
        <sz val="11"/>
        <rFont val="Arial"/>
        <family val="2"/>
      </rPr>
      <t xml:space="preserve"> </t>
    </r>
  </si>
  <si>
    <t>Replacement CCTV</t>
  </si>
  <si>
    <t>The tax base figure is based upon approved figures from Sth Glos in Dec 2022. The final precept was approved by Council in January 2023 with a 0% increase.</t>
  </si>
  <si>
    <r>
      <t xml:space="preserve">Introduced June 2012 with year end youth budget rolled at 2013/14 year end + SGC funding of £2739.85 see N/C 4001= £49,491.31- £17,925.46 used to part fund participation worker </t>
    </r>
    <r>
      <rPr>
        <u/>
        <sz val="11"/>
        <rFont val="Arial"/>
        <family val="2"/>
      </rPr>
      <t>. ANY YEAR END UNSPENT BUDGET FROM N/C 5499 -5500 WILL BE ADDED TO THIS RESERVE - £7975</t>
    </r>
    <r>
      <rPr>
        <sz val="11"/>
        <rFont val="Arial"/>
        <family val="2"/>
      </rPr>
      <t xml:space="preserve"> moved from N/C 5499 + £30081.85 from N/C 5500 at 2015/16 year end and adjusted. 31/3/17 - £748.76 tfrd to N/C 3081 to cover skatepark build &amp; £38K tfrd to N/C 3080 for new shipping containers. 31/3/17 Unspent youth budgets - £7225 tfrd from N/C 5499 + £31,643.42 from N/C 5500 + £476.87 returned for late skatepark bill. Sept 2017 Council approved retaining unspent youth budgets at year end to reserves ( see N/C 5499 + 5500) to be reviwed at Strategic Planning in 2018. Feb LY&amp;A agreed £3500 increase for toilet 8/3/17 council increased to £38K from N/C 3079 for new container + installation costs + </t>
    </r>
    <r>
      <rPr>
        <u/>
        <sz val="11"/>
        <rFont val="Arial"/>
        <family val="2"/>
      </rPr>
      <t xml:space="preserve">LYA Feb 2018 approved £3.5K for toilet </t>
    </r>
    <r>
      <rPr>
        <sz val="11"/>
        <rFont val="Arial"/>
        <family val="2"/>
      </rPr>
      <t xml:space="preserve">= £41.5K. April 18 Finance approved £104,035 reserve at 17/18 year end. </t>
    </r>
    <r>
      <rPr>
        <u/>
        <sz val="11"/>
        <rFont val="Arial"/>
        <family val="2"/>
      </rPr>
      <t>June 2018 Finance approved additional £9K for skatepark for groundworks + installion costs</t>
    </r>
    <r>
      <rPr>
        <sz val="11"/>
        <rFont val="Arial"/>
        <family val="2"/>
      </rPr>
      <t xml:space="preserve"> = £50.5K to N/C 9039. June 18 Finance approved additional £9K for skatepark for groundworks + installion costs = £50.5K from N/C 3081. August finance approved £3.5K to repair Leisure Centre tarmac to N/C 9039. </t>
    </r>
    <r>
      <rPr>
        <b/>
        <sz val="11"/>
        <rFont val="Arial"/>
        <family val="2"/>
      </rPr>
      <t>Sept 18 council approved allocated any unspent youth budgets to unallocated reserve - revuew at Startegic Planning  Sept 19</t>
    </r>
    <r>
      <rPr>
        <sz val="11"/>
        <rFont val="Arial"/>
        <family val="2"/>
      </rPr>
      <t xml:space="preserve">. </t>
    </r>
    <r>
      <rPr>
        <b/>
        <sz val="11"/>
        <rFont val="Arial"/>
        <family val="2"/>
      </rPr>
      <t>April 19 Finance approved increase from unspent budget re NC 5500 = £24782 + NC 5499 = £7950 = £32732 increase reserve to £122,267 - £80K moved to NC 3081 = £50017 in unallocated reserve.</t>
    </r>
    <r>
      <rPr>
        <sz val="11"/>
        <rFont val="Arial"/>
        <family val="2"/>
      </rPr>
      <t xml:space="preserve"> April 19 Year end - May Council decrease by £858.58 to NC 5500 re skate park annual electricity and water. Aug 19 Finance - £731.48 for Glasdon recycling Bin  from N/C 9039. 18/9/19 £835.46 tfrd to NC 9039 to cover expenditures + Council approved protecting unspent budget at 2019/20 year end from N/C 5499 + 5500. </t>
    </r>
    <r>
      <rPr>
        <sz val="11"/>
        <color rgb="FFFF0000"/>
        <rFont val="Arial"/>
        <family val="2"/>
      </rPr>
      <t xml:space="preserve"> June 2020 Finance Reduced from £82,865 to £</t>
    </r>
    <r>
      <rPr>
        <b/>
        <sz val="11"/>
        <color rgb="FFFF0000"/>
        <rFont val="Arial"/>
        <family val="2"/>
      </rPr>
      <t xml:space="preserve">40K at 2020 year end -Take £42,865.58 to part fund BC Play area see NC 3016. </t>
    </r>
    <r>
      <rPr>
        <b/>
        <sz val="11"/>
        <rFont val="Arial"/>
        <family val="2"/>
      </rPr>
      <t xml:space="preserve"> </t>
    </r>
    <r>
      <rPr>
        <b/>
        <sz val="11"/>
        <color rgb="FFFF0000"/>
        <rFont val="Arial"/>
        <family val="2"/>
      </rPr>
      <t>July 2020 Council approved MAX £10K for skatepark container interiors NC3079/9039.</t>
    </r>
    <r>
      <rPr>
        <b/>
        <sz val="11"/>
        <rFont val="Arial"/>
        <family val="2"/>
      </rPr>
      <t xml:space="preserve"> Sept 22 £514.59 tfrd to NC 9039 re internals</t>
    </r>
    <r>
      <rPr>
        <sz val="11"/>
        <rFont val="Arial"/>
        <family val="2"/>
      </rPr>
      <t xml:space="preserve">. </t>
    </r>
    <r>
      <rPr>
        <b/>
        <sz val="11"/>
        <color rgb="FFFF3737"/>
        <rFont val="Arial"/>
        <family val="2"/>
      </rPr>
      <t>March 23 Council approved £4930 for kitchen + slide/hide oven + electrics to N/C9039</t>
    </r>
  </si>
  <si>
    <r>
      <t>From 5078 Youth Provision restructure approved by Sept 2011 Council to include a Youth grant aid</t>
    </r>
    <r>
      <rPr>
        <b/>
        <sz val="11"/>
        <rFont val="Arial"/>
        <family val="2"/>
      </rPr>
      <t xml:space="preserve"> £10,000 S137 </t>
    </r>
    <r>
      <rPr>
        <sz val="11"/>
        <rFont val="Arial"/>
        <family val="2"/>
      </rPr>
      <t xml:space="preserve">(to include Xmas party from N/C 5087)                                                                                         Service level agreement </t>
    </r>
    <r>
      <rPr>
        <b/>
        <sz val="11"/>
        <rFont val="Arial"/>
        <family val="2"/>
      </rPr>
      <t>£10,000 S19 Misc Provision</t>
    </r>
    <r>
      <rPr>
        <sz val="11"/>
        <rFont val="Arial"/>
        <family val="2"/>
      </rPr>
      <t xml:space="preserve"> (BSYFC grant aid of </t>
    </r>
    <r>
      <rPr>
        <b/>
        <sz val="11"/>
        <rFont val="Arial"/>
        <family val="2"/>
      </rPr>
      <t>£2300</t>
    </r>
    <r>
      <rPr>
        <sz val="11"/>
        <rFont val="Arial"/>
        <family val="2"/>
      </rPr>
      <t xml:space="preserve"> approved at July 2012 Council + Cricket Club </t>
    </r>
    <r>
      <rPr>
        <b/>
        <sz val="11"/>
        <rFont val="Arial"/>
        <family val="2"/>
      </rPr>
      <t>£3.5K</t>
    </r>
    <r>
      <rPr>
        <sz val="11"/>
        <rFont val="Arial"/>
        <family val="2"/>
      </rPr>
      <t xml:space="preserve"> approved Jan 15 + </t>
    </r>
    <r>
      <rPr>
        <b/>
        <sz val="11"/>
        <rFont val="Arial"/>
        <family val="2"/>
      </rPr>
      <t xml:space="preserve">£2350 </t>
    </r>
    <r>
      <rPr>
        <sz val="11"/>
        <rFont val="Arial"/>
        <family val="2"/>
      </rPr>
      <t xml:space="preserve">Christ the King Church (increased from £1600 Aug 16 Finance). </t>
    </r>
    <r>
      <rPr>
        <b/>
        <sz val="11"/>
        <rFont val="Arial"/>
        <family val="2"/>
      </rPr>
      <t xml:space="preserve">                                                     </t>
    </r>
    <r>
      <rPr>
        <sz val="11"/>
        <rFont val="Arial"/>
        <family val="2"/>
      </rPr>
      <t xml:space="preserve"> Feb 15 Finance approved allocating any year end unspent funds to skatepark contingency N/C 3081. Sept 17 &amp;18- Council approved allocating unspent funds to youth reserves N/C 3081 to be reviewed at 2019 Strategic Planning. </t>
    </r>
    <r>
      <rPr>
        <b/>
        <sz val="11"/>
        <rFont val="Arial"/>
        <family val="2"/>
      </rPr>
      <t>Sept 18 Council approved buying a 6ft Tommy Statue from youth reserves up to £750 and offering smaller versions to local schools @ £29.99 each.</t>
    </r>
    <r>
      <rPr>
        <sz val="11"/>
        <rFont val="Arial"/>
        <family val="2"/>
      </rPr>
      <t xml:space="preserve"> </t>
    </r>
    <r>
      <rPr>
        <b/>
        <sz val="11"/>
        <rFont val="Arial"/>
        <family val="2"/>
      </rPr>
      <t>Sept 19 Council approved protecting unspent funds at 2019/20 year end to N/C3079 + for 2020/21 - Moving £7500 from NC 5499 to 5500</t>
    </r>
    <r>
      <rPr>
        <sz val="11"/>
        <rFont val="Arial"/>
        <family val="2"/>
      </rPr>
      <t xml:space="preserve">. </t>
    </r>
    <r>
      <rPr>
        <sz val="11"/>
        <color rgb="FFFF0000"/>
        <rFont val="Arial"/>
        <family val="2"/>
      </rPr>
      <t>Feb 23 £12.5K moved to NC 5076 + 5077</t>
    </r>
  </si>
  <si>
    <t>Youth Grant Funding 16 -SGC Magnox Youth funding</t>
  </si>
  <si>
    <r>
      <t>Youth Grant Funding 12 -South Glos Grant -  2019/20 - 2023/24</t>
    </r>
    <r>
      <rPr>
        <b/>
        <sz val="12"/>
        <color rgb="FFFF3737"/>
        <rFont val="Arial"/>
        <family val="2"/>
      </rPr>
      <t xml:space="preserve"> </t>
    </r>
  </si>
  <si>
    <t xml:space="preserve">Youth Grant Funding 14 -South Glos Youth Endowment Fund 2020.21 </t>
  </si>
  <si>
    <t xml:space="preserve">Youth Grant Funding 15 -South Glos Brightside Projects </t>
  </si>
  <si>
    <t>Graffiti Cleaning for Households</t>
  </si>
  <si>
    <t xml:space="preserve">Street Furniture + Xmas Lights Reserve </t>
  </si>
  <si>
    <t>Xmas Lights - also see N/C 3019</t>
  </si>
  <si>
    <t>2027/28 Estimated Projection</t>
  </si>
  <si>
    <r>
      <t>Magnox Grant Funding -</t>
    </r>
    <r>
      <rPr>
        <u/>
        <sz val="11"/>
        <rFont val="Arial"/>
        <family val="2"/>
      </rPr>
      <t xml:space="preserve"> Purchase Skate Park - Fridge Freezer, arts &amp; crafts projects + youth food - </t>
    </r>
    <r>
      <rPr>
        <u/>
        <sz val="11"/>
        <color rgb="FFFF3737"/>
        <rFont val="Arial"/>
        <family val="2"/>
      </rPr>
      <t xml:space="preserve">Received April 23 + Approved June 23 Finance - </t>
    </r>
    <r>
      <rPr>
        <b/>
        <u/>
        <sz val="11"/>
        <color rgb="FFFF3737"/>
        <rFont val="Arial"/>
        <family val="2"/>
      </rPr>
      <t>To be used by 30/6/23 see N/C 5516 + Freezer - 9039/3079</t>
    </r>
  </si>
  <si>
    <t>2 Bus shelter licenses - Approved June 23 Finance - Not valid since 2019/20 as they have been taken away</t>
  </si>
  <si>
    <r>
      <rPr>
        <b/>
        <u/>
        <sz val="11"/>
        <rFont val="Arial"/>
        <family val="2"/>
      </rPr>
      <t>Magnox Grant Funding -</t>
    </r>
    <r>
      <rPr>
        <u/>
        <sz val="11"/>
        <rFont val="Arial"/>
        <family val="2"/>
      </rPr>
      <t xml:space="preserve"> Purchase Skate Park - Fridge Freezer, arts &amp; crafts projects + youth food</t>
    </r>
    <r>
      <rPr>
        <u/>
        <sz val="11"/>
        <color rgb="FFFF0000"/>
        <rFont val="Arial"/>
        <family val="2"/>
      </rPr>
      <t xml:space="preserve"> - </t>
    </r>
    <r>
      <rPr>
        <b/>
        <u/>
        <sz val="11"/>
        <color rgb="FFFF0000"/>
        <rFont val="Arial"/>
        <family val="2"/>
      </rPr>
      <t xml:space="preserve">To be used by 30/6/23 see N/C 4516 + Freezer - </t>
    </r>
    <r>
      <rPr>
        <b/>
        <sz val="11"/>
        <color rgb="FFFF0000"/>
        <rFont val="Arial"/>
        <family val="2"/>
      </rPr>
      <t>9039</t>
    </r>
    <r>
      <rPr>
        <b/>
        <u/>
        <sz val="11"/>
        <color rgb="FFFF0000"/>
        <rFont val="Arial"/>
        <family val="2"/>
      </rPr>
      <t>/3079 - £450 Budget tfrd from N/C 9039 to cover Olas Art at Youth event June 2023</t>
    </r>
  </si>
  <si>
    <t xml:space="preserve">Local Action Nature Plan Projects </t>
  </si>
  <si>
    <r>
      <t xml:space="preserve">(24 litter bins brought in house by MCO from streetcare therefore no charge) </t>
    </r>
    <r>
      <rPr>
        <b/>
        <sz val="11"/>
        <rFont val="Arial"/>
        <family val="2"/>
      </rPr>
      <t xml:space="preserve">+ </t>
    </r>
    <r>
      <rPr>
        <sz val="11"/>
        <rFont val="Arial"/>
        <family val="2"/>
      </rPr>
      <t xml:space="preserve">Office shredding &amp; recycling-  7 lifts (8 weekly) @ £70.94 per lift (following 12.6% increase wef 1/1/23 = </t>
    </r>
    <r>
      <rPr>
        <b/>
        <sz val="11"/>
        <rFont val="Arial"/>
        <family val="2"/>
      </rPr>
      <t>£497 p/a</t>
    </r>
    <r>
      <rPr>
        <sz val="11"/>
        <rFont val="Arial"/>
        <family val="2"/>
      </rPr>
      <t xml:space="preserve"> + additional contingency </t>
    </r>
    <r>
      <rPr>
        <b/>
        <sz val="11"/>
        <rFont val="Arial"/>
        <family val="2"/>
      </rPr>
      <t>£100</t>
    </r>
    <r>
      <rPr>
        <sz val="11"/>
        <rFont val="Arial"/>
        <family val="2"/>
      </rPr>
      <t xml:space="preserve">. </t>
    </r>
    <r>
      <rPr>
        <sz val="11"/>
        <color rgb="FFFF0000"/>
        <rFont val="Arial"/>
        <family val="2"/>
      </rPr>
      <t>April 23 Increased to £1K based upon 22/23 year  end</t>
    </r>
    <r>
      <rPr>
        <b/>
        <sz val="11"/>
        <color rgb="FFFF0000"/>
        <rFont val="Arial"/>
        <family val="2"/>
      </rPr>
      <t xml:space="preserve">. Sept 23 Council approved KN Office on 3 year fixed price contract (13/12/23 - 26 @ £35 per visit - 6- 7 times p/a = £210 - £245 p/a) = £250 p/a 6 + est additionals £100 = </t>
    </r>
    <r>
      <rPr>
        <b/>
        <u/>
        <sz val="11"/>
        <color rgb="FFFF0000"/>
        <rFont val="Arial"/>
        <family val="2"/>
      </rPr>
      <t>£350 p/a</t>
    </r>
  </si>
  <si>
    <r>
      <t>Mainstream fixed price contract to Jan 2018. Based upon line rental @ £12 p/m = £36 per 1/4 = £144 p/a + calls est £5 p/m = £60 p/a + superfast broadband @ £31 p/m = £372. Est £56 p/m with new contract in 2018 = £672.  June 2020 Finance Reduced from £742 to £400 based upon historic figures.</t>
    </r>
    <r>
      <rPr>
        <b/>
        <sz val="11"/>
        <color theme="1"/>
        <rFont val="Arial"/>
        <family val="2"/>
      </rPr>
      <t xml:space="preserve"> Oct 20 restore budget to £742 based upon performance</t>
    </r>
    <r>
      <rPr>
        <sz val="11"/>
        <color theme="1"/>
        <rFont val="Arial"/>
        <family val="2"/>
      </rPr>
      <t>. Nov 20 Approved Internet phone contract charged to office NC 5032- £100 budget to cover mobile 4.99p p/m and premium rate calls - Dec 20 -23.  June 21  Budget increased to £200 based upon actual billing.</t>
    </r>
    <r>
      <rPr>
        <b/>
        <sz val="11"/>
        <color theme="1"/>
        <rFont val="Arial"/>
        <family val="2"/>
      </rPr>
      <t xml:space="preserve"> Oct 22 council - Increase to £1K  with £800 from NC 5032</t>
    </r>
    <r>
      <rPr>
        <sz val="11"/>
        <color theme="1"/>
        <rFont val="Arial"/>
        <family val="2"/>
      </rPr>
      <t xml:space="preserve">. </t>
    </r>
    <r>
      <rPr>
        <sz val="11"/>
        <color rgb="FFFF0000"/>
        <rFont val="Arial"/>
        <family val="2"/>
      </rPr>
      <t xml:space="preserve">Sept 23 council approved Mainstream telecom/broadband contract @ broadband = £402 p/a +  1 soft phone @ £150 p/a = </t>
    </r>
    <r>
      <rPr>
        <b/>
        <u/>
        <sz val="11"/>
        <color rgb="FFFF0000"/>
        <rFont val="Arial"/>
        <family val="2"/>
      </rPr>
      <t>£552 p/a + some calls</t>
    </r>
    <r>
      <rPr>
        <sz val="11"/>
        <color rgb="FFFF0000"/>
        <rFont val="Arial"/>
        <family val="2"/>
      </rPr>
      <t xml:space="preserve"> (16/11/23 - 15/11/26 not fixed price contract)</t>
    </r>
  </si>
  <si>
    <r>
      <rPr>
        <sz val="11"/>
        <color theme="1"/>
        <rFont val="Arial"/>
        <family val="2"/>
      </rPr>
      <t>Mainstream fixed price contract to Jan 2018. Based upon line rental @ £12 p/m = £36 per 1/4 = £144 p/a + calls est £5 p/m = £60 p/a + superfast broadband @ £31 p/m = £372 + £200 contingency.   Est £56 p/m with new contract in 2018 = £672.  June 2020 Finance Reduced from £742 to £400 Based on 2019/20 figures.  Nov 20 Approved Internet phone contract charged to office NC 5032- £100 budget to cover mobile 4.99p p/m and premium rate calls - Dec 20 -23. June 21  Budget increased to £430 based upon actual billing.</t>
    </r>
    <r>
      <rPr>
        <sz val="11"/>
        <color rgb="FFFF3737"/>
        <rFont val="Arial"/>
        <family val="2"/>
      </rPr>
      <t xml:space="preserve"> </t>
    </r>
    <r>
      <rPr>
        <b/>
        <sz val="11"/>
        <color rgb="FFFF0000"/>
        <rFont val="Arial"/>
        <family val="2"/>
      </rPr>
      <t>Sept 23 council approved Mainstream telecom/broadband contract @ broadband = £402 p/a +  1 soft phone @ £150 p/a = £552 p/a + some calls (16/11/23 - 15/11/26 not fixed price contract)</t>
    </r>
  </si>
  <si>
    <r>
      <rPr>
        <sz val="11"/>
        <rFont val="Arial"/>
        <family val="2"/>
      </rPr>
      <t xml:space="preserve">See N/C 3080 + 3081 - New skate park build. Oct 2013 LY&amp;A approved £2,850 for geotechnical survey + £350 pre planning application for skatepark to N/C 9039. Aug 2014 LYA approved £5K for pre-tender work to N/C 9039 (switched) + site surveys to n/c 9039 (on hold). Oct 14 LYA approved £5K for tender process work + £1K for JNC documentation + Feb 15 Finance approved allocating unspent youth funds from N/C 5499 + 5500 to the contingency at year end.  </t>
    </r>
    <r>
      <rPr>
        <u/>
        <sz val="11"/>
        <rFont val="Arial"/>
        <family val="2"/>
      </rPr>
      <t>Budget funded from N/C 3081 at year end. Jan 2016 funds moved from N/C 3081 to cover current expenditure.</t>
    </r>
    <r>
      <rPr>
        <sz val="11"/>
        <rFont val="Arial"/>
        <family val="2"/>
      </rPr>
      <t>July 2016 - £4937.97 + Aug 16 £362.03 + Jan 17 £7.80 tfrd from reserve N/C 3081 to cover expenditure to date. Nov 16 Tfr £2K from N/C 3081. Nov 16 Council approved spending up to £30K on shipping container development from N/C 3079. 8/3/17 council increa</t>
    </r>
    <r>
      <rPr>
        <sz val="11"/>
        <color theme="1"/>
        <rFont val="Arial"/>
        <family val="2"/>
      </rPr>
      <t xml:space="preserve">sed to £38K from N/C 3079 for new container + installation costs + LYA Feb 2018 approved £3.5K for toilet = £41.5K.£286.08 tfrd from 3081 16/5/17. June 18 Finance approved additional £9K for skatepark for groundworks + installion costs = £50.5K from N/C 3081. </t>
    </r>
    <r>
      <rPr>
        <u/>
        <sz val="11"/>
        <color theme="1"/>
        <rFont val="Arial"/>
        <family val="2"/>
      </rPr>
      <t>August 18 Finance approved £3.5K to repair Leisure Centre tarmac</t>
    </r>
    <r>
      <rPr>
        <sz val="11"/>
        <color theme="1"/>
        <rFont val="Arial"/>
        <family val="2"/>
      </rPr>
      <t xml:space="preserve"> to N/C 3079. Oct 18 £41K tfrd from N/C 3080.  </t>
    </r>
    <r>
      <rPr>
        <b/>
        <sz val="11"/>
        <color theme="1"/>
        <rFont val="Arial"/>
        <family val="2"/>
      </rPr>
      <t>31/3/19 £3,391.38 tfrd from N/C 3080</t>
    </r>
    <r>
      <rPr>
        <sz val="11"/>
        <color theme="1"/>
        <rFont val="Arial"/>
        <family val="2"/>
      </rPr>
      <t xml:space="preserve">. </t>
    </r>
    <r>
      <rPr>
        <b/>
        <sz val="11"/>
        <color theme="1"/>
        <rFont val="Arial"/>
        <family val="2"/>
      </rPr>
      <t>£274.63 tfrd from NC 3080 re TV</t>
    </r>
    <r>
      <rPr>
        <sz val="11"/>
        <color theme="1"/>
        <rFont val="Arial"/>
        <family val="2"/>
      </rPr>
      <t>. Aug 19 Finance - £731.48 for Glasdon recycling Bin  from N/C 3079. 18/9/19 £835.46 tfrd from NC 3079 to cover expenditures.</t>
    </r>
    <r>
      <rPr>
        <sz val="11"/>
        <color rgb="FFFF0000"/>
        <rFont val="Arial"/>
        <family val="2"/>
      </rPr>
      <t xml:space="preserve">  July Council approved MAX £10K for skatepark container interiors NC3079/9039. </t>
    </r>
    <r>
      <rPr>
        <sz val="11"/>
        <rFont val="Arial"/>
        <family val="2"/>
      </rPr>
      <t xml:space="preserve"> </t>
    </r>
    <r>
      <rPr>
        <b/>
        <sz val="11"/>
        <rFont val="Arial"/>
        <family val="2"/>
      </rPr>
      <t>Sept 22 £514.59 tfrd from NC 3079.March 23 Council approved £4930 for kitchen + slide/hide oven + electrics from NC 3079 + £7900 for floodlights from NC 3079.</t>
    </r>
    <r>
      <rPr>
        <sz val="11"/>
        <color theme="1"/>
        <rFont val="Arial"/>
        <family val="2"/>
      </rPr>
      <t xml:space="preserve"> </t>
    </r>
    <r>
      <rPr>
        <b/>
        <u/>
        <sz val="11"/>
        <color rgb="FFFF0000"/>
        <rFont val="Arial"/>
        <family val="2"/>
      </rPr>
      <t xml:space="preserve"> </t>
    </r>
    <r>
      <rPr>
        <u/>
        <sz val="11"/>
        <color rgb="FFFF0000"/>
        <rFont val="Arial"/>
        <family val="2"/>
      </rPr>
      <t>26/4/23 Magnox funding £2900 received - See N/C 5516 re freezer &amp; cookery funding. £450 Tfrd to NC 5516 to cover Olas art cost for youth event June 23</t>
    </r>
    <r>
      <rPr>
        <sz val="11"/>
        <color theme="1"/>
        <rFont val="Arial"/>
        <family val="2"/>
      </rPr>
      <t xml:space="preserve">. </t>
    </r>
    <r>
      <rPr>
        <b/>
        <sz val="11"/>
        <color rgb="FFFF0000"/>
        <rFont val="Arial"/>
        <family val="2"/>
      </rPr>
      <t>Sept 23 Council approved £10,980 for CCTV from N/C 3079</t>
    </r>
  </si>
  <si>
    <t>2022/23 - Audited Figures</t>
  </si>
  <si>
    <r>
      <rPr>
        <sz val="11"/>
        <color theme="1"/>
        <rFont val="Arial"/>
        <family val="2"/>
      </rPr>
      <t xml:space="preserve">Fixed price contract runs to 31/10/18. Estimated budget based upon usage 1/8/16 - 17 = £4140 + 10% for new contract + 5% contingency for possible increased usage by both hirers and the Radio etc = </t>
    </r>
    <r>
      <rPr>
        <b/>
        <sz val="11"/>
        <color theme="1"/>
        <rFont val="Arial"/>
        <family val="2"/>
      </rPr>
      <t xml:space="preserve">£4780 </t>
    </r>
    <r>
      <rPr>
        <sz val="11"/>
        <color theme="1"/>
        <rFont val="Arial"/>
        <family val="2"/>
      </rPr>
      <t xml:space="preserve"> (Note this budget includes the Radio usage which is seperately metered and invoiced). This income is applied to BW N/C 4007)  (Note LED lighting has positively impacted expenditure levels).  New 3 year contract agreed 24/9/18 to run 1/11/18 - 2021 = £2980 - Council advised 10/10/18.</t>
    </r>
    <r>
      <rPr>
        <b/>
        <sz val="11"/>
        <color theme="1"/>
        <rFont val="Arial"/>
        <family val="2"/>
      </rPr>
      <t xml:space="preserve"> June 2020 reduced budget to £3K based upon historics</t>
    </r>
    <r>
      <rPr>
        <sz val="11"/>
        <color theme="1"/>
        <rFont val="Arial"/>
        <family val="2"/>
      </rPr>
      <t>.</t>
    </r>
    <r>
      <rPr>
        <sz val="11"/>
        <color indexed="8"/>
        <rFont val="Arial"/>
        <family val="2"/>
      </rPr>
      <t xml:space="preserve"> </t>
    </r>
    <r>
      <rPr>
        <sz val="11"/>
        <color rgb="FFFF0000"/>
        <rFont val="Arial"/>
        <family val="2"/>
      </rPr>
      <t>Mar 2021 approved a new fixed Total Power &amp; Gas 3 yr fixed price contract 1/11/21 - 30/9/24 est @ £3,130 p/a.</t>
    </r>
    <r>
      <rPr>
        <sz val="11"/>
        <color indexed="8"/>
        <rFont val="Arial"/>
        <family val="2"/>
      </rPr>
      <t xml:space="preserve"> </t>
    </r>
    <r>
      <rPr>
        <b/>
        <sz val="11"/>
        <color rgb="FFFF3737"/>
        <rFont val="Arial"/>
        <family val="2"/>
      </rPr>
      <t>25/10/23 Finance approved British Gas (3 year fixed price 1/10/24 - 30/9/27) @ £4,896.75 p/a</t>
    </r>
    <r>
      <rPr>
        <sz val="11"/>
        <color indexed="8"/>
        <rFont val="Arial"/>
        <family val="2"/>
      </rPr>
      <t xml:space="preserve">. </t>
    </r>
    <r>
      <rPr>
        <b/>
        <sz val="11"/>
        <color rgb="FF000000"/>
        <rFont val="Arial"/>
        <family val="2"/>
      </rPr>
      <t>Nov 23 Council approved £3.8K forr 24/25</t>
    </r>
  </si>
  <si>
    <r>
      <t xml:space="preserve">Fixed price contract ends 31/10/18.Estimated budget based upon usage 2/8/16 - 31/7/17 = £4300 + 10% for Oct 2018 new contract + 5% contingency = £5800. New 3 year contract agreed 24/9/18 to run 1/11/18 - 2021 = £4380- Council advised 10/10/18.  June 2020 Finance Reduced from £5000 to £4300 Based on 2019/20 figures . </t>
    </r>
    <r>
      <rPr>
        <sz val="11"/>
        <color rgb="FFFF0000"/>
        <rFont val="Arial"/>
        <family val="2"/>
      </rPr>
      <t xml:space="preserve">Mar 2021 approved a new fixed Total Power &amp; Gas 3 yr fixed price contract 1/11/21 - 30/9/24 est @ £4,794.25 p/a.  </t>
    </r>
    <r>
      <rPr>
        <sz val="11"/>
        <rFont val="Arial"/>
        <family val="2"/>
      </rPr>
      <t>2</t>
    </r>
    <r>
      <rPr>
        <b/>
        <sz val="11"/>
        <color rgb="FFFF3737"/>
        <rFont val="Arial"/>
        <family val="2"/>
      </rPr>
      <t>5/10/23 Finance approved British Gas (3 year fixed price 1/10/24 - 30/9/27) @ £7153.52 p/a</t>
    </r>
    <r>
      <rPr>
        <sz val="11"/>
        <rFont val="Arial"/>
        <family val="2"/>
      </rPr>
      <t xml:space="preserve">. </t>
    </r>
    <r>
      <rPr>
        <b/>
        <sz val="11"/>
        <rFont val="Arial"/>
        <family val="2"/>
      </rPr>
      <t>Nov 23 Council approved £5.5K budget for 24/25</t>
    </r>
  </si>
  <si>
    <t>Phone/ Broadband</t>
  </si>
  <si>
    <t>%</t>
  </si>
  <si>
    <r>
      <t xml:space="preserve">Reimburse reserve to upgrade CCTV at all sites over 5-6 years. 31/3/17 £500 tfrd . </t>
    </r>
    <r>
      <rPr>
        <sz val="11"/>
        <color rgb="FFFF0000"/>
        <rFont val="Arial"/>
        <family val="2"/>
      </rPr>
      <t>April 18 Finance approved £4.5K reserve at 17/18 year end</t>
    </r>
    <r>
      <rPr>
        <sz val="11"/>
        <rFont val="Arial"/>
        <family val="2"/>
      </rPr>
      <t xml:space="preserve">. </t>
    </r>
    <r>
      <rPr>
        <sz val="11"/>
        <color rgb="FFFF0000"/>
        <rFont val="Arial"/>
        <family val="2"/>
      </rPr>
      <t>Dec 23 Finance - Approved withdrawing reserve for 24/25 onwards as all cameras recently replaced</t>
    </r>
  </si>
  <si>
    <t xml:space="preserve"> Projected Budget 2026/27</t>
  </si>
  <si>
    <t xml:space="preserve"> Projected Budget 2027/28</t>
  </si>
  <si>
    <t>The tax base figure is based upon approved figures from Sth Glos in Dec 2023. The final precept was approved by Council in January 2024 with a 4.99% increase.</t>
  </si>
  <si>
    <r>
      <rPr>
        <sz val="11"/>
        <color theme="1"/>
        <rFont val="Arial"/>
        <family val="2"/>
      </rPr>
      <t>Aug 19 + Aug 22 Finance - PHS sanitact (3 Year Fixed to 15/9/25) - 8 sanitacts + 1 nappy bin with Eurobin (13 collections p/a) + 1 Flowsaver = £396 p/a. Includes Duty of Care</t>
    </r>
    <r>
      <rPr>
        <sz val="11"/>
        <rFont val="Arial"/>
        <family val="2"/>
      </rPr>
      <t xml:space="preserve"> + £135  contingent .</t>
    </r>
    <r>
      <rPr>
        <b/>
        <sz val="11"/>
        <color rgb="FFFF0000"/>
        <rFont val="Arial"/>
        <family val="2"/>
      </rPr>
      <t xml:space="preserve"> Jan 24 Finance updated with new PHS 3 yr fixed contract  (19/12/23 - 18/12/26) @ £438.12 p/a</t>
    </r>
  </si>
  <si>
    <r>
      <t xml:space="preserve">Aug 19 + 22 Finance - PHS sanitact (3 Years Fixed to 15/9/25) - 4 sanitacts + 1 nappy bin with Eurobin (13 + collections p/a)  + 1 Flowsaver = </t>
    </r>
    <r>
      <rPr>
        <u/>
        <sz val="11"/>
        <color theme="1"/>
        <rFont val="Arial"/>
        <family val="2"/>
      </rPr>
      <t>£331.04</t>
    </r>
    <r>
      <rPr>
        <sz val="11"/>
        <color theme="1"/>
        <rFont val="Arial"/>
        <family val="2"/>
      </rPr>
      <t xml:space="preserve"> Includes Duty of Care + £71 contingency.  </t>
    </r>
    <r>
      <rPr>
        <b/>
        <sz val="11"/>
        <color rgb="FFFF0000"/>
        <rFont val="Arial"/>
        <family val="2"/>
      </rPr>
      <t>Jan 24 Finance updated with new PHS 3 yr fixed contract  (19/12/23 - 18/12/26) @ £367.56 p/a</t>
    </r>
  </si>
  <si>
    <r>
      <t xml:space="preserve">Aug 19 + 22 Finance - PHS sanitact (3 Years Fixed to 15/9/25) - 10 sanitacts + 1 nappy bin with Eurobin (13 collections p/a) + 2 Flow saver = £509.88 p/a + other contingency £95. </t>
    </r>
    <r>
      <rPr>
        <b/>
        <sz val="11"/>
        <color rgb="FFFF0000"/>
        <rFont val="Arial"/>
        <family val="2"/>
      </rPr>
      <t>Jan 24 Finance updated with new PHS 3 yr fixed contract  (19/12/23 - 18/12/26) @ £562.40 p/a</t>
    </r>
  </si>
  <si>
    <r>
      <t xml:space="preserve">Warm Spaces (Formerly Misc) - </t>
    </r>
    <r>
      <rPr>
        <sz val="12"/>
        <color rgb="FFFF0000"/>
        <rFont val="Arial"/>
        <family val="2"/>
      </rPr>
      <t>New</t>
    </r>
  </si>
  <si>
    <r>
      <t xml:space="preserve">2021/22 figures based upon estimated £200 p/m = </t>
    </r>
    <r>
      <rPr>
        <b/>
        <sz val="11"/>
        <color theme="1"/>
        <rFont val="Arial"/>
        <family val="2"/>
      </rPr>
      <t xml:space="preserve">£3600 </t>
    </r>
    <r>
      <rPr>
        <sz val="11"/>
        <color theme="1"/>
        <rFont val="Arial"/>
        <family val="2"/>
      </rPr>
      <t xml:space="preserve">based upon historic figures . 2018 New contract - 1100L general waste x 2 p/w + 1100L recycling x 1 p/w + duty of care - 3 year fixed rate contract to 2/4/2021 @ £35.15 p/w + £2 p/m duty of care = £1851.80 + £250 for additionals.  </t>
    </r>
    <r>
      <rPr>
        <sz val="11"/>
        <color rgb="FFFF0000"/>
        <rFont val="Arial"/>
        <family val="2"/>
      </rPr>
      <t>June 2020 Finance Increased from £2100 to £3K based upon 2019/20 figures</t>
    </r>
    <r>
      <rPr>
        <sz val="11"/>
        <color theme="1"/>
        <rFont val="Arial"/>
        <family val="2"/>
      </rPr>
      <t xml:space="preserve">. </t>
    </r>
    <r>
      <rPr>
        <b/>
        <sz val="11"/>
        <color rgb="FFFF0000"/>
        <rFont val="Arial"/>
        <family val="2"/>
      </rPr>
      <t>Feb 24 Council approved Suez 1/4/24 -31/3/27 - £4168 p/a fixed price + £500 for additionals</t>
    </r>
  </si>
  <si>
    <r>
      <t>Reserve for future vehicle replacements. 31/3/15 - increases to £2k at year end. Sept council moved £2K from allotment reserve (N/C 3022) to the vehicle replacement budget &amp; advised to build up reserve over 5 years. Sept 2017 Council approved Transit purchase of £15K - Updated March 19 - Chairs approved £15.8K inc VAT - £13.2K tfr to N/C 9054 31/3/19  for Mitsubishi purchase + April 19 Finance approved moving 2019/20 budget into 2018/19 at year end = £12K + £1K added following sale of Astra Van - see NC 4003 Approved 17/4/19 = £13K . March 22 - Year end adjustment re 2022/23 reserves adj £14K to £15K.</t>
    </r>
    <r>
      <rPr>
        <b/>
        <sz val="12"/>
        <rFont val="Arial"/>
        <family val="2"/>
      </rPr>
      <t xml:space="preserve"> </t>
    </r>
    <r>
      <rPr>
        <sz val="12"/>
        <color rgb="FFFF0000"/>
        <rFont val="Arial"/>
        <family val="2"/>
      </rPr>
      <t xml:space="preserve">May 22 increase 21/22 year end reserve to £25K + £21K received fro Vehicle insurance see NC 4003. </t>
    </r>
    <r>
      <rPr>
        <b/>
        <sz val="12"/>
        <color rgb="FFFF0000"/>
        <rFont val="Arial"/>
        <family val="2"/>
      </rPr>
      <t xml:space="preserve">Aug 22 approve Transit Van pur @ £32990 + £55 registration fee - See NC 9054. Sept 212 £807.96 tfrd to NC 9054 re Chapter 8 shortfall. Feb 24 Council approved - Vehicle camera lights and tracker est up to - £3293 to N/C 9033 to be paid back at year end. </t>
    </r>
  </si>
  <si>
    <t>Bank Interest/Investment Income</t>
  </si>
  <si>
    <r>
      <t xml:space="preserve">Other Income to N/C 5500. June 2018 - £88 Skatepark competion entry funds tfrd to N/C 5500. </t>
    </r>
    <r>
      <rPr>
        <sz val="11"/>
        <color rgb="FFFF0000"/>
        <rFont val="Arial"/>
        <family val="2"/>
      </rPr>
      <t>31.3.24 - £229 added to NC5500</t>
    </r>
  </si>
  <si>
    <r>
      <t xml:space="preserve">Weekly youth sessions for JC courts, girls night and skate park. £30K payable £10K per year for 3 years - PAID MONTHLY £833.33 - See NC 5512. 2 Additional years of funding approved Sept 2021 for 22/23 &amp; 23/24. Feb 22 - </t>
    </r>
    <r>
      <rPr>
        <u/>
        <sz val="11"/>
        <rFont val="Arial"/>
        <family val="2"/>
      </rPr>
      <t>An additional one off payment of £800 awarded for 2022/23</t>
    </r>
    <r>
      <rPr>
        <sz val="11"/>
        <rFont val="Arial"/>
        <family val="2"/>
      </rPr>
      <t>. An additional £300 awarded in October 2022</t>
    </r>
    <r>
      <rPr>
        <b/>
        <sz val="11"/>
        <color rgb="FFFF0000"/>
        <rFont val="Arial"/>
        <family val="2"/>
      </rPr>
      <t>. £14K external youth funding secured for 5 years wef 24/25 (see also NC 5512)</t>
    </r>
  </si>
  <si>
    <r>
      <t xml:space="preserve"> June 2020 Finance Reduced from £82,865 to £40K at 2020 year end -Take £42,865.58 to part fund BC Play area see NC 3016.  July 2020 Council approved MAX £10K for skatepark container interiors NC3079/9039. Sept 22 £514.59 tfrd to NC 9039 re internals. </t>
    </r>
    <r>
      <rPr>
        <sz val="11"/>
        <color rgb="FFFF0000"/>
        <rFont val="Arial"/>
        <family val="2"/>
      </rPr>
      <t>March 23 Council approved £4930 for kitchen + slide/hide oven + electrics to N/C 9039 + £7900 for floodlight upgrades to NC 9039. April 23 - Adjustment re 22/23 year end accruals to  NC9039- Approved June 23</t>
    </r>
    <r>
      <rPr>
        <sz val="11"/>
        <rFont val="Arial"/>
        <family val="2"/>
      </rPr>
      <t>.</t>
    </r>
    <r>
      <rPr>
        <b/>
        <sz val="11"/>
        <rFont val="Arial"/>
        <family val="2"/>
      </rPr>
      <t xml:space="preserve"> </t>
    </r>
    <r>
      <rPr>
        <b/>
        <sz val="11"/>
        <color rgb="FFFF0000"/>
        <rFont val="Arial"/>
        <family val="2"/>
      </rPr>
      <t>Sept 23 council approved £10,980 for skatepark CCTV to N/C 9039.</t>
    </r>
    <r>
      <rPr>
        <sz val="11"/>
        <rFont val="Arial"/>
        <family val="2"/>
      </rPr>
      <t xml:space="preserve"> </t>
    </r>
    <r>
      <rPr>
        <u/>
        <sz val="11"/>
        <color rgb="FFFF0000"/>
        <rFont val="Arial"/>
        <family val="2"/>
      </rPr>
      <t>31/3/24 - May 24 council approved ring fencing £23,745..25 unspent year end youth budgets from NC 5500 + 5600</t>
    </r>
  </si>
  <si>
    <t>New Office/Jubilee Centre Development - NC 9034 - 9035</t>
  </si>
  <si>
    <r>
      <t>Nominal budget - Increased for 2018/19 onwards to allow for annual Data Protection audits in addition to nominal budget.</t>
    </r>
    <r>
      <rPr>
        <b/>
        <sz val="11"/>
        <rFont val="Arial"/>
        <family val="2"/>
      </rPr>
      <t xml:space="preserve">21/11/18 council reduced budget </t>
    </r>
    <r>
      <rPr>
        <sz val="11"/>
        <rFont val="Arial"/>
        <family val="2"/>
      </rPr>
      <t>. 18/9/19 Council approved funding Finance cover contracts  from N/C 5066 &amp; repay from any year end surplus N/C 3089. Oct Finance approved £12000 budget increase for RFO cover  no adjustment made from reserves N/C 3089 at this stage. Sept/Oct 19 approved cover for RFO from Professional Fees Budget. June 2020 Finance agreed increase from £800 to £20K to cover Finance contractor sickness cover. Increase budget to cover to 2020 year end.</t>
    </r>
    <r>
      <rPr>
        <b/>
        <sz val="11"/>
        <rFont val="Arial"/>
        <family val="2"/>
      </rPr>
      <t xml:space="preserve"> 2021/22 nominal budget based upon previous figures £2K + £1701 for Temp worker April - June 21 @ £567 p/m agreed by Staffing Committee by email.</t>
    </r>
    <r>
      <rPr>
        <sz val="11"/>
        <rFont val="Arial"/>
        <family val="2"/>
      </rPr>
      <t xml:space="preserve"> </t>
    </r>
    <r>
      <rPr>
        <u/>
        <sz val="11"/>
        <rFont val="Arial"/>
        <family val="2"/>
      </rPr>
      <t xml:space="preserve">Nov 21 - Reduce Budget from £3701 to £2.7K based upon current performance and to allow £1K for remainder of the year. </t>
    </r>
    <r>
      <rPr>
        <b/>
        <sz val="11"/>
        <rFont val="Arial"/>
        <family val="2"/>
      </rPr>
      <t>Aug 22- Approved 3 yearly reinstatement valuation @ £1268</t>
    </r>
    <r>
      <rPr>
        <sz val="11"/>
        <rFont val="Arial"/>
        <family val="2"/>
      </rPr>
      <t xml:space="preserve">. </t>
    </r>
    <r>
      <rPr>
        <b/>
        <sz val="11"/>
        <color rgb="FFFF0000"/>
        <rFont val="Arial"/>
        <family val="2"/>
      </rPr>
      <t>24/25- May 24 Finance approved One West for Archiving -Volumes and cost TBC</t>
    </r>
  </si>
  <si>
    <r>
      <t xml:space="preserve"> Sept Council 2013 approved BS1 to take over the shutter contract 1/10/16 - 7/9/2021 fixed price = </t>
    </r>
    <r>
      <rPr>
        <b/>
        <sz val="11"/>
        <rFont val="Arial"/>
        <family val="2"/>
      </rPr>
      <t>£295.08</t>
    </r>
    <r>
      <rPr>
        <sz val="11"/>
        <rFont val="Arial"/>
        <family val="2"/>
      </rPr>
      <t xml:space="preserve"> p/a + A1 annual contract fixed to 31/5/21 (agreed May 20)= </t>
    </r>
    <r>
      <rPr>
        <b/>
        <sz val="11"/>
        <rFont val="Arial"/>
        <family val="2"/>
      </rPr>
      <t xml:space="preserve">£1500 </t>
    </r>
    <r>
      <rPr>
        <sz val="11"/>
        <rFont val="Arial"/>
        <family val="2"/>
      </rPr>
      <t xml:space="preserve">p/a + Estimate repair items etc </t>
    </r>
    <r>
      <rPr>
        <b/>
        <sz val="11"/>
        <rFont val="Arial"/>
        <family val="2"/>
      </rPr>
      <t>£1000. Oct 20 - budget increased to £2800 after A1 contract split from JC@ £1500</t>
    </r>
    <r>
      <rPr>
        <sz val="11"/>
        <rFont val="Arial"/>
        <family val="2"/>
      </rPr>
      <t xml:space="preserve"> (fixed until May 21) - Increase by 3%. April 21 - A1 Maintenance approved @ </t>
    </r>
    <r>
      <rPr>
        <b/>
        <sz val="11"/>
        <rFont val="Arial"/>
        <family val="2"/>
      </rPr>
      <t>£1.5K</t>
    </r>
    <r>
      <rPr>
        <sz val="11"/>
        <rFont val="Arial"/>
        <family val="2"/>
      </rPr>
      <t xml:space="preserve">  (3 year fixed 1/6/21 - 31/5/24) + BS1 Shutter </t>
    </r>
    <r>
      <rPr>
        <b/>
        <sz val="11"/>
        <rFont val="Arial"/>
        <family val="2"/>
      </rPr>
      <t xml:space="preserve">£295.08 </t>
    </r>
    <r>
      <rPr>
        <sz val="11"/>
        <rFont val="Arial"/>
        <family val="2"/>
      </rPr>
      <t>p/a fixed to 7/6/24 (agreed June 21).</t>
    </r>
    <r>
      <rPr>
        <b/>
        <sz val="11"/>
        <rFont val="Arial"/>
        <family val="2"/>
      </rPr>
      <t xml:space="preserve"> Sept 23 Finance - increase budget from £3,062 to £4K</t>
    </r>
    <r>
      <rPr>
        <sz val="11"/>
        <rFont val="Arial"/>
        <family val="2"/>
      </rPr>
      <t xml:space="preserve">. </t>
    </r>
    <r>
      <rPr>
        <b/>
        <sz val="11"/>
        <color rgb="FFFF0000"/>
        <rFont val="Arial"/>
        <family val="2"/>
      </rPr>
      <t xml:space="preserve">24/25 - May 24 Finance 24 - Approved A1  on 3 year contract (1/6/24 - 31/5/27) = £944.16 Yr 1 / £972.50 Yr2/ £1001.66 Year 3 + £2K estimated repairs etc </t>
    </r>
    <r>
      <rPr>
        <b/>
        <sz val="11"/>
        <rFont val="Arial"/>
        <family val="2"/>
      </rPr>
      <t xml:space="preserve"> </t>
    </r>
  </si>
  <si>
    <r>
      <rPr>
        <sz val="11"/>
        <rFont val="Arial"/>
        <family val="2"/>
      </rPr>
      <t xml:space="preserve">BS1 Annual fire, intruder, CCTV + access(fixed 8/6/18 - 7/6/2021) = </t>
    </r>
    <r>
      <rPr>
        <b/>
        <sz val="11"/>
        <rFont val="Arial"/>
        <family val="2"/>
      </rPr>
      <t>£680 p/a + 5% = £714</t>
    </r>
    <r>
      <rPr>
        <sz val="11"/>
        <rFont val="Arial"/>
        <family val="2"/>
      </rPr>
      <t xml:space="preserve">   + Annual service est </t>
    </r>
    <r>
      <rPr>
        <b/>
        <sz val="11"/>
        <rFont val="Arial"/>
        <family val="2"/>
      </rPr>
      <t xml:space="preserve">£120 </t>
    </r>
    <r>
      <rPr>
        <sz val="11"/>
        <rFont val="Arial"/>
        <family val="2"/>
      </rPr>
      <t xml:space="preserve">p/a + other items est </t>
    </r>
    <r>
      <rPr>
        <b/>
        <sz val="11"/>
        <rFont val="Arial"/>
        <family val="2"/>
      </rPr>
      <t xml:space="preserve">£200. </t>
    </r>
    <r>
      <rPr>
        <sz val="11"/>
        <rFont val="Arial"/>
        <family val="2"/>
      </rPr>
      <t>June 21 - BS1 Annual fire, intruder, CCTV + access (fixed 7/6/2021-6/24 agreed 16/6/21) = £677.45 +</t>
    </r>
    <r>
      <rPr>
        <sz val="11"/>
        <color rgb="FFFF0000"/>
        <rFont val="Arial"/>
        <family val="2"/>
      </rPr>
      <t xml:space="preserve">  </t>
    </r>
    <r>
      <rPr>
        <b/>
        <sz val="11"/>
        <color rgb="FFFF0000"/>
        <rFont val="Arial"/>
        <family val="2"/>
      </rPr>
      <t>Annual service est £120 p/a + other items est £200. May 24 Finance-  Shield on 3 year fixed contract (fixed 8/6/24 - 7/6/27)- Shutters £220 p/a + £464 for Fire + Intruder +Annual fire Service £120 + est call outs/repairs  £500 etc</t>
    </r>
  </si>
  <si>
    <r>
      <t xml:space="preserve"> Altodigital printer cartridges based on usage for main office printer est max £250 per 1/4 = £</t>
    </r>
    <r>
      <rPr>
        <b/>
        <sz val="11"/>
        <rFont val="Arial"/>
        <family val="2"/>
      </rPr>
      <t>1000 + £4100</t>
    </r>
    <r>
      <rPr>
        <sz val="11"/>
        <rFont val="Arial"/>
        <family val="2"/>
      </rPr>
      <t xml:space="preserve"> est remainder of other printer cartridges + paper - based upon actual expenditure . June 2020 finance approved budget reduced from £5463 to £5100 based on historic figures. </t>
    </r>
    <r>
      <rPr>
        <b/>
        <sz val="11"/>
        <rFont val="Arial"/>
        <family val="2"/>
      </rPr>
      <t>March 22 - Advanced Imaging systems -photocopier lease April 22 - 27 fixed @ £247 per 1/4 = £988 p/a - Printing costs to be monitored</t>
    </r>
    <r>
      <rPr>
        <sz val="11"/>
        <rFont val="Arial"/>
        <family val="2"/>
      </rPr>
      <t xml:space="preserve">. </t>
    </r>
    <r>
      <rPr>
        <b/>
        <sz val="11"/>
        <rFont val="Arial"/>
        <family val="2"/>
      </rPr>
      <t>May 22 approved increase to £6.3K</t>
    </r>
  </si>
  <si>
    <r>
      <t xml:space="preserve">. Sept 19 council approved £3K on councillor emails moving £3K from N/C 3014. Budget updated June 2020. </t>
    </r>
    <r>
      <rPr>
        <b/>
        <sz val="11"/>
        <color theme="1"/>
        <rFont val="Arial"/>
        <family val="2"/>
      </rPr>
      <t>Oct 20  reduced to £2500 as £3K planned work went through in 2019/20 re councillor emails</t>
    </r>
    <r>
      <rPr>
        <sz val="11"/>
        <color theme="1"/>
        <rFont val="Arial"/>
        <family val="2"/>
      </rPr>
      <t xml:space="preserve">. 2021/22 based upon Web hosting + 9 hours support @ £395 per 1/4 = £1580 + 3% = </t>
    </r>
    <r>
      <rPr>
        <b/>
        <sz val="11"/>
        <color theme="1"/>
        <rFont val="Arial"/>
        <family val="2"/>
      </rPr>
      <t>£1630</t>
    </r>
    <r>
      <rPr>
        <sz val="11"/>
        <color theme="1"/>
        <rFont val="Arial"/>
        <family val="2"/>
      </rPr>
      <t xml:space="preserve"> + additional work </t>
    </r>
    <r>
      <rPr>
        <b/>
        <sz val="11"/>
        <color theme="1"/>
        <rFont val="Arial"/>
        <family val="2"/>
      </rPr>
      <t xml:space="preserve">£500 </t>
    </r>
    <r>
      <rPr>
        <sz val="11"/>
        <color theme="1"/>
        <rFont val="Arial"/>
        <family val="2"/>
      </rPr>
      <t xml:space="preserve">+ domain registration </t>
    </r>
    <r>
      <rPr>
        <b/>
        <sz val="11"/>
        <color theme="1"/>
        <rFont val="Arial"/>
        <family val="2"/>
      </rPr>
      <t xml:space="preserve">£50 </t>
    </r>
    <r>
      <rPr>
        <sz val="11"/>
        <color theme="1"/>
        <rFont val="Arial"/>
        <family val="2"/>
      </rPr>
      <t xml:space="preserve">p/a. </t>
    </r>
    <r>
      <rPr>
        <b/>
        <sz val="11"/>
        <color theme="1"/>
        <rFont val="Arial"/>
        <family val="2"/>
      </rPr>
      <t>May 22 - £500 Brightside - Covid Experience grant funding - see NC 4002</t>
    </r>
  </si>
  <si>
    <r>
      <rPr>
        <sz val="11"/>
        <color theme="1"/>
        <rFont val="Arial"/>
        <family val="2"/>
      </rPr>
      <t xml:space="preserve">Contract renewed following J Rendells leave until 30/11/2022 - agreed by council 20/11/2019@ </t>
    </r>
    <r>
      <rPr>
        <b/>
        <sz val="11"/>
        <color theme="1"/>
        <rFont val="Arial"/>
        <family val="2"/>
      </rPr>
      <t>£3500.04</t>
    </r>
    <r>
      <rPr>
        <sz val="11"/>
        <color theme="1"/>
        <rFont val="Arial"/>
        <family val="2"/>
      </rPr>
      <t xml:space="preserve"> for 2 years and then £3641.78</t>
    </r>
    <r>
      <rPr>
        <b/>
        <sz val="11"/>
        <color theme="1"/>
        <rFont val="Arial"/>
        <family val="2"/>
      </rPr>
      <t xml:space="preserve"> </t>
    </r>
    <r>
      <rPr>
        <sz val="11"/>
        <color theme="1"/>
        <rFont val="Arial"/>
        <family val="2"/>
      </rPr>
      <t xml:space="preserve">in year 3  - 5/11/19 - 4/11/22 + </t>
    </r>
    <r>
      <rPr>
        <b/>
        <sz val="11"/>
        <color theme="1"/>
        <rFont val="Arial"/>
        <family val="2"/>
      </rPr>
      <t>£500</t>
    </r>
    <r>
      <rPr>
        <sz val="11"/>
        <color theme="1"/>
        <rFont val="Arial"/>
        <family val="2"/>
      </rPr>
      <t xml:space="preserve"> additionals  +  windows £20 (6 weekly) = £180+ 3% = </t>
    </r>
    <r>
      <rPr>
        <b/>
        <sz val="11"/>
        <color theme="1"/>
        <rFont val="Arial"/>
        <family val="2"/>
      </rPr>
      <t>£190</t>
    </r>
    <r>
      <rPr>
        <sz val="11"/>
        <color theme="1"/>
        <rFont val="Arial"/>
        <family val="2"/>
      </rPr>
      <t xml:space="preserve">. June Finance approved small increase from £4316 to £4330. Dec 20 - Council advised year 3 uplift is to be removed and price frozen at £3500.04 until November 2022. </t>
    </r>
    <r>
      <rPr>
        <b/>
        <sz val="11"/>
        <color theme="1"/>
        <rFont val="Arial"/>
        <family val="2"/>
      </rPr>
      <t xml:space="preserve">2022/23 - Increase 3rd year cleaning contract by 10% = £ + £600 additionals + windows £20 per 6 weeks = £180 + 3% = £190.for 2022/23 &amp; 3% onwards. 2022/23 </t>
    </r>
    <r>
      <rPr>
        <sz val="11"/>
        <color theme="1"/>
        <rFont val="Arial"/>
        <family val="2"/>
      </rPr>
      <t xml:space="preserve">- Main contract due to end Nov 22 or before - Estimate £3641 + 25% = </t>
    </r>
    <r>
      <rPr>
        <b/>
        <sz val="11"/>
        <color theme="1"/>
        <rFont val="Arial"/>
        <family val="2"/>
      </rPr>
      <t>£4551</t>
    </r>
    <r>
      <rPr>
        <sz val="11"/>
        <color theme="1"/>
        <rFont val="Arial"/>
        <family val="2"/>
      </rPr>
      <t xml:space="preserve"> + additionals est</t>
    </r>
    <r>
      <rPr>
        <b/>
        <sz val="11"/>
        <color theme="1"/>
        <rFont val="Arial"/>
        <family val="2"/>
      </rPr>
      <t xml:space="preserve"> £500 </t>
    </r>
    <r>
      <rPr>
        <sz val="11"/>
        <color theme="1"/>
        <rFont val="Arial"/>
        <family val="2"/>
      </rPr>
      <t>+ windows £20</t>
    </r>
    <r>
      <rPr>
        <b/>
        <sz val="11"/>
        <color theme="1"/>
        <rFont val="Arial"/>
        <family val="2"/>
      </rPr>
      <t xml:space="preserve"> </t>
    </r>
    <r>
      <rPr>
        <sz val="11"/>
        <color theme="1"/>
        <rFont val="Arial"/>
        <family val="2"/>
      </rPr>
      <t>(6 weekly) = £180+ 3% =</t>
    </r>
    <r>
      <rPr>
        <b/>
        <sz val="11"/>
        <color theme="1"/>
        <rFont val="Arial"/>
        <family val="2"/>
      </rPr>
      <t xml:space="preserve"> £190.</t>
    </r>
    <r>
      <rPr>
        <sz val="11"/>
        <color theme="1"/>
        <rFont val="Arial"/>
        <family val="2"/>
      </rPr>
      <t xml:space="preserve">  </t>
    </r>
    <r>
      <rPr>
        <b/>
        <sz val="11"/>
        <color theme="1"/>
        <rFont val="Arial"/>
        <family val="2"/>
      </rPr>
      <t xml:space="preserve">                                                                                                               </t>
    </r>
    <r>
      <rPr>
        <b/>
        <sz val="11"/>
        <rFont val="Arial"/>
        <family val="2"/>
      </rPr>
      <t xml:space="preserve"> </t>
    </r>
    <r>
      <rPr>
        <b/>
        <u/>
        <sz val="11"/>
        <color rgb="FFFF0000"/>
        <rFont val="Arial"/>
        <family val="2"/>
      </rPr>
      <t>2023/24</t>
    </r>
    <r>
      <rPr>
        <b/>
        <sz val="11"/>
        <color rgb="FFFF0000"/>
        <rFont val="Arial"/>
        <family val="2"/>
      </rPr>
      <t xml:space="preserve"> - </t>
    </r>
    <r>
      <rPr>
        <sz val="11"/>
        <color rgb="FFFF0000"/>
        <rFont val="Arial"/>
        <family val="2"/>
      </rPr>
      <t xml:space="preserve"> Nov 22 Council approved new cleaning contract with Concord Homecare on 3 month probation within 3 year contract (1/12/22 – 30/11/25) – The split between the office/JC and CR is now confirmed @</t>
    </r>
    <r>
      <rPr>
        <b/>
        <sz val="11"/>
        <color rgb="FFFF0000"/>
        <rFont val="Arial"/>
        <family val="2"/>
      </rPr>
      <t xml:space="preserve"> £4290</t>
    </r>
    <r>
      <rPr>
        <sz val="11"/>
        <color rgb="FFFF0000"/>
        <rFont val="Arial"/>
        <family val="2"/>
      </rPr>
      <t xml:space="preserve"> p/a + window cleaning on 6 weekly cycles = £20 x 9 = </t>
    </r>
    <r>
      <rPr>
        <b/>
        <sz val="11"/>
        <color rgb="FFFF0000"/>
        <rFont val="Arial"/>
        <family val="2"/>
      </rPr>
      <t>£180</t>
    </r>
    <r>
      <rPr>
        <sz val="11"/>
        <color rgb="FFFF0000"/>
        <rFont val="Arial"/>
        <family val="2"/>
      </rPr>
      <t xml:space="preserve"> + contingency </t>
    </r>
    <r>
      <rPr>
        <b/>
        <sz val="11"/>
        <color rgb="FFFF0000"/>
        <rFont val="Arial"/>
        <family val="2"/>
      </rPr>
      <t xml:space="preserve">£100 </t>
    </r>
  </si>
  <si>
    <t>(Note contingent reserve is held ).27/6/17 £1401.02 Insurance settlement for Beacon paid to N/C 4003. Retain nominal £1K for 2018/19onwards. Nov 23 council approved budget reduction</t>
  </si>
  <si>
    <r>
      <t xml:space="preserve">New contract - 1100L general waste x 2 p/w + 1100L recycling x 1 p/w 3 year fixed rate contract to 2/4/2021 @ £35.15 p/w = </t>
    </r>
    <r>
      <rPr>
        <b/>
        <sz val="11"/>
        <rFont val="Arial"/>
        <family val="2"/>
      </rPr>
      <t>£1998.20 p/a</t>
    </r>
    <r>
      <rPr>
        <sz val="11"/>
        <rFont val="Arial"/>
        <family val="2"/>
      </rPr>
      <t xml:space="preserve"> + Glass recycling every 2 weeks @ £6.10 per lift = </t>
    </r>
    <r>
      <rPr>
        <b/>
        <sz val="11"/>
        <rFont val="Arial"/>
        <family val="2"/>
      </rPr>
      <t>£150 p/a</t>
    </r>
    <r>
      <rPr>
        <sz val="11"/>
        <rFont val="Arial"/>
        <family val="2"/>
      </rPr>
      <t xml:space="preserve"> = </t>
    </r>
    <r>
      <rPr>
        <u/>
        <sz val="11"/>
        <rFont val="Arial"/>
        <family val="2"/>
      </rPr>
      <t>£2150 + additionals</t>
    </r>
    <r>
      <rPr>
        <sz val="11"/>
        <rFont val="Arial"/>
        <family val="2"/>
      </rPr>
      <t xml:space="preserve">. </t>
    </r>
    <r>
      <rPr>
        <b/>
        <sz val="11"/>
        <rFont val="Arial"/>
        <family val="2"/>
      </rPr>
      <t>Oct 20 Increase to £2.5K based on usage</t>
    </r>
    <r>
      <rPr>
        <sz val="11"/>
        <rFont val="Arial"/>
        <family val="2"/>
      </rPr>
      <t xml:space="preserve">. 2021/22 set at average monthly cost linked to volumes etc is approx £220 p/m = </t>
    </r>
    <r>
      <rPr>
        <b/>
        <sz val="11"/>
        <rFont val="Arial"/>
        <family val="2"/>
      </rPr>
      <t>£2640</t>
    </r>
    <r>
      <rPr>
        <sz val="11"/>
        <rFont val="Arial"/>
        <family val="2"/>
      </rPr>
      <t xml:space="preserve">. </t>
    </r>
    <r>
      <rPr>
        <b/>
        <sz val="11"/>
        <color rgb="FFFF0000"/>
        <rFont val="Arial"/>
        <family val="2"/>
      </rPr>
      <t>Feb 24 Council approved Suez 1/4/24 -31/3/27 - £3056 p/a fixed price + £500 for additionals</t>
    </r>
  </si>
  <si>
    <r>
      <t xml:space="preserve">3 Yr Fixed price Contract Ambience £1848 p/a approved 17/4/19 (Contract ends 31/3/22) + additionals est £1600.  June 2020 Finance Reduced from £4500 to £4200 Based on 2019/20 figures. Oct 20 reduce budget from £4200 to £3100 (based on expected costs + £1000 additionals). Nov 20 approved tree maintenance @ £1300 from NC 6041 - £1300 budget moved from NC 6041. Jan 22 - 2021/22 Increase  from £3450 by £1500 from NC 7041 for carpark repairs. </t>
    </r>
    <r>
      <rPr>
        <b/>
        <sz val="11"/>
        <rFont val="Arial"/>
        <family val="2"/>
      </rPr>
      <t xml:space="preserve">March 22 Prestige approved for ground maintenance 1/4/22 to 31/3/22 = £1585. April 22 approved £949 for planting of Jubilee maple groves- Increase budget from £4k to £5k. Nov 22 approved 2023/24 budget - Ground Maintenance contract ends 31/3/23 23 - The current annual contract is £1585. Increase by 10% in view of CPI &amp; high fuel costs = £1750 p/a + estimated £4K for additional pitch, hard courts and grounds works and equipment repairs. </t>
    </r>
    <r>
      <rPr>
        <b/>
        <sz val="11"/>
        <color rgb="FFFF0000"/>
        <rFont val="Arial"/>
        <family val="2"/>
      </rPr>
      <t xml:space="preserve">March 23 - Prestige approved on 3 yr NON FIXED PRICE - £1585 p/a for 23/24 + add est 3% p/a after + £2K for additionals.   </t>
    </r>
  </si>
  <si>
    <r>
      <t xml:space="preserve">Nominal Budget -  June 2020 Finance Reduced from £1K to £500 based on previous figures. </t>
    </r>
    <r>
      <rPr>
        <sz val="11"/>
        <color rgb="FFFF0000"/>
        <rFont val="Arial"/>
        <family val="2"/>
      </rPr>
      <t>May 24 Finance approved meeting room furniture - £1268.</t>
    </r>
    <r>
      <rPr>
        <b/>
        <sz val="11"/>
        <color rgb="FFFF0000"/>
        <rFont val="Arial"/>
        <family val="2"/>
      </rPr>
      <t xml:space="preserve"> June 24 Council- increase budget by £1420 to £1920 from N/C 3012 to cover furniture</t>
    </r>
  </si>
  <si>
    <r>
      <rPr>
        <b/>
        <sz val="12"/>
        <rFont val="Arial"/>
        <family val="2"/>
      </rPr>
      <t xml:space="preserve">Based upon current employer rates - June Finance 2020 agreed - Reduced from £31,350 to £30K - more realistic figure based on prior years- admin leaver departure has no impact as below NI threshold                                                                                                                                     </t>
    </r>
    <r>
      <rPr>
        <b/>
        <u/>
        <sz val="12"/>
        <rFont val="Arial"/>
        <family val="2"/>
      </rPr>
      <t>2021/22 - Jan 22</t>
    </r>
    <r>
      <rPr>
        <b/>
        <sz val="12"/>
        <rFont val="Arial"/>
        <family val="2"/>
      </rPr>
      <t xml:space="preserve"> = £32K reduce to £30K based upon £3K p/m Jan - Mar                                                                                                                </t>
    </r>
    <r>
      <rPr>
        <b/>
        <u/>
        <sz val="12"/>
        <rFont val="Arial"/>
        <family val="2"/>
      </rPr>
      <t>2022/23</t>
    </r>
    <r>
      <rPr>
        <b/>
        <sz val="12"/>
        <rFont val="Arial"/>
        <family val="2"/>
      </rPr>
      <t xml:space="preserve"> -  NI Increased by 1.25% = £34K to Oct 22 + £36K post Oct 22= £70K /2 = £35k (increased from £34K). Nov 22 approved increase t £36.2K following pay award + £37,811 for 2023/24-  June 23 Finance - Decreased to £36K based upon 22/23 year end.</t>
    </r>
    <r>
      <rPr>
        <b/>
        <sz val="12"/>
        <color theme="1"/>
        <rFont val="Arial"/>
        <family val="2"/>
      </rPr>
      <t xml:space="preserve">  </t>
    </r>
    <r>
      <rPr>
        <b/>
        <sz val="12"/>
        <rFont val="Arial"/>
        <family val="2"/>
      </rPr>
      <t>Nov 23 Council approved £38K following NJC pay award</t>
    </r>
    <r>
      <rPr>
        <b/>
        <sz val="12"/>
        <color theme="1"/>
        <rFont val="Arial"/>
        <family val="2"/>
      </rPr>
      <t>.</t>
    </r>
    <r>
      <rPr>
        <b/>
        <sz val="12"/>
        <color rgb="FFFF0000"/>
        <rFont val="Arial"/>
        <family val="2"/>
      </rPr>
      <t xml:space="preserve"> July 24 Finance approved uplifts in payroll budgets to cover 3 new office roles to 27/28</t>
    </r>
  </si>
  <si>
    <r>
      <t xml:space="preserve">Introduced at April 2015 Finance. 31/3/16 budget adjusted at 2015/16 year end &amp; forward plan adjusted 13/4/16. 21/7/16 Council -£5.5K moved to 9030 to pur verti drainer for JC and payback from year end surplus. Increased to £5750 by Aug 16 Finance. Oct Finance approved £1610 to N/C 5037 to cover email migration. 31/3/17 £77360 tfrd in to fund next 5 year forward plan. Nov 17 council approved budget to cover strategic planning costs see N/C 3022. </t>
    </r>
    <r>
      <rPr>
        <u/>
        <sz val="11"/>
        <rFont val="Arial"/>
        <family val="2"/>
      </rPr>
      <t>Feb 18 Finance approved £2,925 to N/C 9046 to cover New Office telephone system. April 18 Finance approved £410K reserve at 17/18 year end - Not c/fwd into 2018/19</t>
    </r>
    <r>
      <rPr>
        <sz val="11"/>
        <rFont val="Arial"/>
        <family val="2"/>
      </rPr>
      <t xml:space="preserve">. Sept 18 Council approved moving £1.5K to street furniture reserve N/C 3019 to be repaid at year end. April 19 Finance approved increasing budget to £400k to fund 5 Year Forward Plan. Aug 19 Finance approved 3 Pickle Ball courts at JC  see N/C 9035. 18/9/19 - £6122  tfrd from NC 3014 from surplus BW development budget + 18/9/19 Council approved funding Finance contract cover staff to N/C 5066 + 5060 - 5062 &amp; repay from any year end surplus. Oct Finance agreed office server migration @ £3200 + 3 PCs replaced at 3 sites @ £639 to N/C 9015. £3839 tfrd to N/C 9015. Oct Finance approved increasing 2019/20 - 2020/21 budget from any year end surplus.  June 2020 Finance Adustment based on year  end figures. April 21 Finance approved 2020/21 increase to £385000 and 2021/22 reduce to £240K. Nov 21 increase from £240K to £270K. Dec 21 reduced back to £240K. </t>
    </r>
    <r>
      <rPr>
        <b/>
        <sz val="11"/>
        <rFont val="Arial"/>
        <family val="2"/>
      </rPr>
      <t xml:space="preserve">March 22 - Year end adjustment re 2022/23 reserves adj- reduce from £270K to £240K. May 22 adjust 2021/22 to £350K &amp; 2022/23 to £285K </t>
    </r>
    <r>
      <rPr>
        <sz val="11"/>
        <rFont val="Arial"/>
        <family val="2"/>
      </rPr>
      <t xml:space="preserve">. </t>
    </r>
    <r>
      <rPr>
        <b/>
        <sz val="11"/>
        <rFont val="Arial"/>
        <family val="2"/>
      </rPr>
      <t>2023/24 - £255K approved June 23</t>
    </r>
    <r>
      <rPr>
        <sz val="11"/>
        <rFont val="Arial"/>
        <family val="2"/>
      </rPr>
      <t>.</t>
    </r>
    <r>
      <rPr>
        <b/>
        <sz val="11"/>
        <rFont val="Arial"/>
        <family val="2"/>
      </rPr>
      <t xml:space="preserve"> July 23 finance approve allocation of 22/23 CIL funding of £17,420.21 to leisure equipment N./C 3070</t>
    </r>
    <r>
      <rPr>
        <sz val="11"/>
        <rFont val="Arial"/>
        <family val="2"/>
      </rPr>
      <t xml:space="preserve">. Dec 23 - Reduced reserve to £118K. </t>
    </r>
    <r>
      <rPr>
        <b/>
        <sz val="11"/>
        <color rgb="FFFF0000"/>
        <rFont val="Arial"/>
        <family val="2"/>
      </rPr>
      <t>24/25 May Finance approved holding. 24/25 May 24 Finance approved holding additional unallocated 23/24 year end surplus for later reallocation - £67K allocated with £40K balance in 24/25 year end surplus</t>
    </r>
    <r>
      <rPr>
        <sz val="11"/>
        <rFont val="Arial"/>
        <family val="2"/>
      </rPr>
      <t>.</t>
    </r>
    <r>
      <rPr>
        <b/>
        <sz val="11"/>
        <color rgb="FFFF0000"/>
        <rFont val="Arial"/>
        <family val="2"/>
      </rPr>
      <t xml:space="preserve"> </t>
    </r>
    <r>
      <rPr>
        <b/>
        <u/>
        <sz val="11"/>
        <color rgb="FFFF0000"/>
        <rFont val="Arial"/>
        <family val="2"/>
      </rPr>
      <t>July 24 Finance approved reducing the 25/26 budget support budget by £50K from £100K for 25/26</t>
    </r>
    <r>
      <rPr>
        <b/>
        <sz val="11"/>
        <color rgb="FFFF0000"/>
        <rFont val="Arial"/>
        <family val="2"/>
      </rPr>
      <t xml:space="preserve"> </t>
    </r>
  </si>
  <si>
    <r>
      <t>Evening Post =</t>
    </r>
    <r>
      <rPr>
        <b/>
        <sz val="11"/>
        <rFont val="Arial"/>
        <family val="2"/>
      </rPr>
      <t xml:space="preserve"> £5.05 p/w = £263</t>
    </r>
    <r>
      <rPr>
        <sz val="11"/>
        <rFont val="Arial"/>
        <family val="2"/>
      </rPr>
      <t xml:space="preserve">+ other adhoc items (eg Arnold Baker etc )est </t>
    </r>
    <r>
      <rPr>
        <b/>
        <sz val="11"/>
        <rFont val="Arial"/>
        <family val="2"/>
      </rPr>
      <t>£100</t>
    </r>
    <r>
      <rPr>
        <sz val="11"/>
        <rFont val="Arial"/>
        <family val="2"/>
      </rPr>
      <t xml:space="preserve"> = £363- Budget updated June 2020.November 20 Budget removed as Evening Post orders cancelled in April 2020</t>
    </r>
  </si>
  <si>
    <t xml:space="preserve">General Waste (paper shredding exc. street bins) </t>
  </si>
  <si>
    <r>
      <t xml:space="preserve">Youth Grant &amp; other Income - </t>
    </r>
    <r>
      <rPr>
        <sz val="11"/>
        <color rgb="FFC00000"/>
        <rFont val="Arial"/>
        <family val="2"/>
      </rPr>
      <t>NEW</t>
    </r>
  </si>
  <si>
    <r>
      <t xml:space="preserve">Initial Washrooms- 3 towel leases for 3 Activity Centres @ est 120 p/a per 1/4 = £480 p/a (rolling contract) + 3% = </t>
    </r>
    <r>
      <rPr>
        <b/>
        <sz val="11"/>
        <rFont val="Arial"/>
        <family val="2"/>
      </rPr>
      <t>£494 +</t>
    </r>
    <r>
      <rPr>
        <sz val="11"/>
        <rFont val="Arial"/>
        <family val="2"/>
      </rPr>
      <t xml:space="preserve"> Monthly toilet roll, foam soap (excludes sanitiser) etc supplies all sites increased - est £340 p/m = </t>
    </r>
    <r>
      <rPr>
        <b/>
        <sz val="11"/>
        <rFont val="Arial"/>
        <family val="2"/>
      </rPr>
      <t xml:space="preserve">£4080 </t>
    </r>
    <r>
      <rPr>
        <sz val="11"/>
        <rFont val="Arial"/>
        <family val="2"/>
      </rPr>
      <t>p/a for 21/22</t>
    </r>
    <r>
      <rPr>
        <b/>
        <sz val="11"/>
        <rFont val="Arial"/>
        <family val="2"/>
      </rPr>
      <t>.</t>
    </r>
    <r>
      <rPr>
        <sz val="11"/>
        <rFont val="Arial"/>
        <family val="2"/>
      </rPr>
      <t xml:space="preserve"> June 2020 Finance Reduce from £6461 to £3.7K based upon current &amp; historic figures.</t>
    </r>
    <r>
      <rPr>
        <b/>
        <sz val="11"/>
        <rFont val="Arial"/>
        <family val="2"/>
      </rPr>
      <t xml:space="preserve"> 2021/22 Reduce budget from £4.5k to £4k as worse case + 3% for 2022/23.</t>
    </r>
  </si>
  <si>
    <r>
      <t>2021/22 Actual PPL/PRS</t>
    </r>
    <r>
      <rPr>
        <b/>
        <sz val="11"/>
        <rFont val="Arial"/>
        <family val="2"/>
      </rPr>
      <t xml:space="preserve"> £864</t>
    </r>
    <r>
      <rPr>
        <sz val="11"/>
        <rFont val="Arial"/>
        <family val="2"/>
      </rPr>
      <t xml:space="preserve"> + MPL </t>
    </r>
    <r>
      <rPr>
        <b/>
        <sz val="11"/>
        <rFont val="Arial"/>
        <family val="2"/>
      </rPr>
      <t>£174 +</t>
    </r>
    <r>
      <rPr>
        <sz val="11"/>
        <rFont val="Arial"/>
        <family val="2"/>
      </rPr>
      <t xml:space="preserve"> Premises licence</t>
    </r>
    <r>
      <rPr>
        <b/>
        <sz val="11"/>
        <rFont val="Arial"/>
        <family val="2"/>
      </rPr>
      <t xml:space="preserve"> £180</t>
    </r>
    <r>
      <rPr>
        <sz val="11"/>
        <rFont val="Arial"/>
        <family val="2"/>
      </rPr>
      <t xml:space="preserve">, TV </t>
    </r>
    <r>
      <rPr>
        <b/>
        <sz val="11"/>
        <rFont val="Arial"/>
        <family val="2"/>
      </rPr>
      <t>£160</t>
    </r>
    <r>
      <rPr>
        <sz val="11"/>
        <rFont val="Arial"/>
        <family val="2"/>
      </rPr>
      <t xml:space="preserve"> </t>
    </r>
    <r>
      <rPr>
        <b/>
        <sz val="11"/>
        <rFont val="Arial"/>
        <family val="2"/>
      </rPr>
      <t>+ 3%  =  £1378. 2022/23 Est  PPL/PRS £864 + MPL £174 + 3% + Premises licence £180, TV £160 + contingency £100 = £1510</t>
    </r>
  </si>
  <si>
    <r>
      <rPr>
        <sz val="11"/>
        <rFont val="Arial"/>
        <family val="2"/>
      </rPr>
      <t xml:space="preserve">Fixed price contract commenced 20/1/16 - 31/10/18. Based upon current usage Aug 2016 - 17 = £1500 + 10% for new contract in Oct 2018 + 5% contingency = </t>
    </r>
    <r>
      <rPr>
        <b/>
        <sz val="11"/>
        <rFont val="Arial"/>
        <family val="2"/>
      </rPr>
      <t>£1740</t>
    </r>
    <r>
      <rPr>
        <sz val="11"/>
        <rFont val="Arial"/>
        <family val="2"/>
      </rPr>
      <t xml:space="preserve"> + </t>
    </r>
    <r>
      <rPr>
        <b/>
        <sz val="11"/>
        <rFont val="Arial"/>
        <family val="2"/>
      </rPr>
      <t>£500</t>
    </r>
    <r>
      <rPr>
        <sz val="11"/>
        <rFont val="Arial"/>
        <family val="2"/>
      </rPr>
      <t xml:space="preserve"> in case of bookings/increased usage. New 3 year contract agreed 24/9/18 to run 1/11/18 - 2021 = £1,742 - Council advised 10/10/18. </t>
    </r>
    <r>
      <rPr>
        <b/>
        <sz val="11"/>
        <rFont val="Arial"/>
        <family val="2"/>
      </rPr>
      <t xml:space="preserve"> June 2020 Finance Reduced from £2K Based on 2019/20 figures.</t>
    </r>
    <r>
      <rPr>
        <b/>
        <sz val="11"/>
        <color rgb="FFFF0000"/>
        <rFont val="Arial"/>
        <family val="2"/>
      </rPr>
      <t xml:space="preserve"> </t>
    </r>
    <r>
      <rPr>
        <sz val="11"/>
        <color rgb="FFFF3737"/>
        <rFont val="Arial"/>
        <family val="2"/>
      </rPr>
      <t xml:space="preserve">Mar 2021 approved a new fixed Total Power &amp; Gas 3 yr fixed price contract 1/11/21 - 30/9/24 est @ £1,266 p/a. </t>
    </r>
    <r>
      <rPr>
        <b/>
        <sz val="11"/>
        <color rgb="FFFF3737"/>
        <rFont val="Arial"/>
        <family val="2"/>
      </rPr>
      <t xml:space="preserve">25/10/23 Finance approved British Gas (3 year fixed price 1/10/24 - 30/9/27) @ £4688.20 p/a </t>
    </r>
    <r>
      <rPr>
        <sz val="11"/>
        <color indexed="8"/>
        <rFont val="Arial"/>
        <family val="2"/>
      </rPr>
      <t xml:space="preserve">. </t>
    </r>
    <r>
      <rPr>
        <b/>
        <sz val="11"/>
        <rFont val="Arial"/>
        <family val="2"/>
      </rPr>
      <t>Nov 23 Council approved £3.5K for 24/25</t>
    </r>
  </si>
  <si>
    <t>Activity Centres Sustainable Energy Project</t>
  </si>
  <si>
    <t>2028/29 Estimated Projection</t>
  </si>
  <si>
    <r>
      <t xml:space="preserve"> 4 Towns Transport</t>
    </r>
    <r>
      <rPr>
        <b/>
        <sz val="11"/>
        <rFont val="Arial"/>
        <family val="2"/>
      </rPr>
      <t xml:space="preserve"> £2,404.24 </t>
    </r>
    <r>
      <rPr>
        <b/>
        <sz val="12"/>
        <color indexed="12"/>
        <rFont val="Arial"/>
        <family val="2"/>
      </rPr>
      <t>under Transport Act 1985 section 106a</t>
    </r>
    <r>
      <rPr>
        <b/>
        <sz val="11"/>
        <rFont val="Arial"/>
        <family val="2"/>
      </rPr>
      <t xml:space="preserve"> </t>
    </r>
    <r>
      <rPr>
        <sz val="11"/>
        <rFont val="Arial"/>
        <family val="2"/>
      </rPr>
      <t xml:space="preserve">(moved from N/C 5077),  </t>
    </r>
    <r>
      <rPr>
        <b/>
        <sz val="11"/>
        <color rgb="FFFF0000"/>
        <rFont val="Arial"/>
        <family val="2"/>
      </rPr>
      <t>May 24 Rounded up as per above from £2404.24 to £2450 for 25/26 onwards</t>
    </r>
  </si>
  <si>
    <t>2027/28  % change</t>
  </si>
  <si>
    <t>2028/29  % change</t>
  </si>
  <si>
    <t xml:space="preserve"> Projected Budget 2028/29</t>
  </si>
  <si>
    <r>
      <t xml:space="preserve">Nominal Budget. </t>
    </r>
    <r>
      <rPr>
        <b/>
        <sz val="11"/>
        <color rgb="FFFF0000"/>
        <rFont val="Arial"/>
        <family val="2"/>
      </rPr>
      <t xml:space="preserve">Sept 24 Finance - Increase from £400 to £1500 to cover Replacement Defib @ JC £990 + wheel chair ramp for bowls green £270 </t>
    </r>
  </si>
  <si>
    <r>
      <rPr>
        <sz val="11"/>
        <rFont val="Arial"/>
        <family val="2"/>
      </rPr>
      <t>April 22 - approved 9 mobile phone Network Est £160 p/m based upon £116 p/m contract with 60gb + charges etc = £1920 (3 year fixed contract 2022 -2025)</t>
    </r>
    <r>
      <rPr>
        <b/>
        <sz val="11"/>
        <rFont val="Arial"/>
        <family val="2"/>
      </rPr>
      <t xml:space="preserve"> </t>
    </r>
    <r>
      <rPr>
        <sz val="11"/>
        <rFont val="Arial"/>
        <family val="2"/>
      </rPr>
      <t>Council approved Office phone support @ £75 per 1/4 ends April 23</t>
    </r>
    <r>
      <rPr>
        <b/>
        <sz val="11"/>
        <rFont val="Arial"/>
        <family val="2"/>
      </rPr>
      <t xml:space="preserve"> </t>
    </r>
    <r>
      <rPr>
        <u/>
        <sz val="11"/>
        <rFont val="Arial"/>
        <family val="2"/>
      </rPr>
      <t>=</t>
    </r>
    <r>
      <rPr>
        <b/>
        <sz val="11"/>
        <rFont val="Arial"/>
        <family val="2"/>
      </rPr>
      <t xml:space="preserve"> £300</t>
    </r>
    <r>
      <rPr>
        <b/>
        <u/>
        <sz val="11"/>
        <rFont val="Arial"/>
        <family val="2"/>
      </rPr>
      <t xml:space="preserve">. </t>
    </r>
    <r>
      <rPr>
        <sz val="11"/>
        <rFont val="Arial"/>
        <family val="2"/>
      </rPr>
      <t xml:space="preserve">Nov 20 Council agreed Cloud ph-one/broadband @£545.48 per 1/4 = </t>
    </r>
    <r>
      <rPr>
        <b/>
        <u/>
        <sz val="11"/>
        <rFont val="Arial"/>
        <family val="2"/>
      </rPr>
      <t>£2181.92</t>
    </r>
    <r>
      <rPr>
        <sz val="11"/>
        <rFont val="Arial"/>
        <family val="2"/>
      </rPr>
      <t xml:space="preserve"> fixed Dec 20 - Dec 23. All calls free accept mobiles at 4.99p p/m est </t>
    </r>
    <r>
      <rPr>
        <b/>
        <u/>
        <sz val="11"/>
        <rFont val="Arial"/>
        <family val="2"/>
      </rPr>
      <t xml:space="preserve">£100 </t>
    </r>
    <r>
      <rPr>
        <b/>
        <sz val="11"/>
        <rFont val="Arial"/>
        <family val="2"/>
      </rPr>
      <t>p/a</t>
    </r>
    <r>
      <rPr>
        <sz val="11"/>
        <rFont val="Arial"/>
        <family val="2"/>
      </rPr>
      <t xml:space="preserve"> = 2004 hours p/a or about 6.5 hours per day.</t>
    </r>
    <r>
      <rPr>
        <u/>
        <sz val="11"/>
        <rFont val="Arial"/>
        <family val="2"/>
      </rPr>
      <t>2022/23 increase from £3780 to £4K based upon current performance</t>
    </r>
    <r>
      <rPr>
        <sz val="11"/>
        <rFont val="Arial"/>
        <family val="2"/>
      </rPr>
      <t xml:space="preserve">. </t>
    </r>
    <r>
      <rPr>
        <b/>
        <sz val="11"/>
        <rFont val="Arial"/>
        <family val="2"/>
      </rPr>
      <t xml:space="preserve">Oct 22 Council - Decrease budget from £4K to £3.2K to fund NC 6032. </t>
    </r>
    <r>
      <rPr>
        <b/>
        <sz val="11"/>
        <color rgb="FFFF3737"/>
        <rFont val="Arial"/>
        <family val="2"/>
      </rPr>
      <t xml:space="preserve">Sept 23 council approved Mainstream telecom/broadband contract @ broadband = £402 p/a +  8 soft phones @ £1200 p/a + 28/11/23 added upgraded router with 4G @ £32 p/m. </t>
    </r>
    <r>
      <rPr>
        <b/>
        <u/>
        <sz val="11"/>
        <color rgb="FFFF3737"/>
        <rFont val="Arial"/>
        <family val="2"/>
      </rPr>
      <t xml:space="preserve">Total = £1986 p/a (£165.50 p/m) + est £100 for some calls </t>
    </r>
    <r>
      <rPr>
        <b/>
        <sz val="11"/>
        <color rgb="FFFF3737"/>
        <rFont val="Arial"/>
        <family val="2"/>
      </rPr>
      <t xml:space="preserve">(16/11/23 - </t>
    </r>
    <r>
      <rPr>
        <b/>
        <sz val="11"/>
        <rFont val="Arial"/>
        <family val="2"/>
      </rPr>
      <t>15/11/26 not fixed price contract)</t>
    </r>
    <r>
      <rPr>
        <sz val="11"/>
        <rFont val="Arial"/>
        <family val="2"/>
      </rPr>
      <t xml:space="preserve"> + 9 mobile phones est £160 p/m = </t>
    </r>
    <r>
      <rPr>
        <b/>
        <u/>
        <sz val="11"/>
        <color rgb="FFFF0000"/>
        <rFont val="Arial"/>
        <family val="2"/>
      </rPr>
      <t>£1920</t>
    </r>
    <r>
      <rPr>
        <sz val="11"/>
        <rFont val="Arial"/>
        <family val="2"/>
      </rPr>
      <t xml:space="preserve">. Dec 23 approved increase for 24/25 to £4.2K. </t>
    </r>
    <r>
      <rPr>
        <b/>
        <sz val="11"/>
        <rFont val="Arial"/>
        <family val="2"/>
      </rPr>
      <t>Jan 24 reduced to £4020</t>
    </r>
    <r>
      <rPr>
        <sz val="11"/>
        <rFont val="Arial"/>
        <family val="2"/>
      </rPr>
      <t xml:space="preserve">. </t>
    </r>
    <r>
      <rPr>
        <b/>
        <sz val="11"/>
        <color rgb="FFFF0000"/>
        <rFont val="Arial"/>
        <family val="2"/>
      </rPr>
      <t>Sept 24 Finance - Increase by £18.50 p/m wefr  11/9/24 for Full Fibre Broadband + £75 set up Fee = £222 p/a increase from £4020 to £4240</t>
    </r>
  </si>
  <si>
    <r>
      <rPr>
        <b/>
        <sz val="11"/>
        <rFont val="Arial"/>
        <family val="2"/>
      </rPr>
      <t xml:space="preserve">Aug 19 &amp; Aug 22 Finance - PHS sanitact (fixed to 15/9/25) </t>
    </r>
    <r>
      <rPr>
        <b/>
        <u/>
        <sz val="11"/>
        <rFont val="Arial"/>
        <family val="2"/>
      </rPr>
      <t>£16.20</t>
    </r>
    <r>
      <rPr>
        <b/>
        <sz val="11"/>
        <rFont val="Arial"/>
        <family val="2"/>
      </rPr>
      <t xml:space="preserve"> p/a Includes Duty of Care</t>
    </r>
    <r>
      <rPr>
        <sz val="11"/>
        <rFont val="Arial"/>
        <family val="2"/>
      </rPr>
      <t xml:space="preserve"> + Sth Glos empty 33 dog bins (based upon contract for 33 bins emptied x1 p/w @ (£5,330.82) &amp; 10 bins emptied x 2 p/w@ (£1,555.32) = </t>
    </r>
    <r>
      <rPr>
        <b/>
        <u/>
        <sz val="11"/>
        <rFont val="Arial"/>
        <family val="2"/>
      </rPr>
      <t xml:space="preserve">£6,886.14 </t>
    </r>
    <r>
      <rPr>
        <u/>
        <sz val="11"/>
        <rFont val="Arial"/>
        <family val="2"/>
      </rPr>
      <t>confirmed for 2022/23 - (6,463 p/a</t>
    </r>
    <r>
      <rPr>
        <sz val="11"/>
        <rFont val="Arial"/>
        <family val="2"/>
      </rPr>
      <t xml:space="preserve">  2021/22) + other contingent</t>
    </r>
    <r>
      <rPr>
        <b/>
        <sz val="11"/>
        <rFont val="Arial"/>
        <family val="2"/>
      </rPr>
      <t xml:space="preserve"> £220</t>
    </r>
    <r>
      <rPr>
        <sz val="11"/>
        <rFont val="Arial"/>
        <family val="2"/>
      </rPr>
      <t xml:space="preserve"> . </t>
    </r>
    <r>
      <rPr>
        <b/>
        <sz val="11"/>
        <rFont val="Arial"/>
        <family val="2"/>
      </rPr>
      <t>Jan 22 increase budget from £7035 to £7125</t>
    </r>
    <r>
      <rPr>
        <sz val="11"/>
        <rFont val="Arial"/>
        <family val="2"/>
      </rPr>
      <t xml:space="preserve">. </t>
    </r>
    <r>
      <rPr>
        <b/>
        <sz val="11"/>
        <rFont val="Arial"/>
        <family val="2"/>
      </rPr>
      <t xml:space="preserve">Nov 22 - Dog bin emptying increase from £6886 to £8035 - Increase budget to £8270 for 2023/24. </t>
    </r>
    <r>
      <rPr>
        <b/>
        <sz val="11"/>
        <color rgb="FFFF0000"/>
        <rFont val="Arial"/>
        <family val="2"/>
      </rPr>
      <t>Jan 24 Council approved SGC dog bin emptying - 1 year contract (1/4/24 - 31/3/25) @ £8,371.23. Jan 24 Finance updated with new PHS 3 yr fixed contract  (19/12/23 - 18/12/26 @ £17.64 p/a)</t>
    </r>
    <r>
      <rPr>
        <sz val="11"/>
        <color theme="1"/>
        <rFont val="Arial"/>
        <family val="2"/>
      </rPr>
      <t xml:space="preserve">. </t>
    </r>
    <r>
      <rPr>
        <b/>
        <sz val="11"/>
        <color theme="1"/>
        <rFont val="Arial"/>
        <family val="2"/>
      </rPr>
      <t>Sept 23 Council - Dog Bins are being taken out and replaced with litter bins for in-house emptying- budget reduced from 25/26 onwards. Office - PHS Sanitact fixed to 15/9/25 - £16.20 p/a inc duty of care + £235 additionals</t>
    </r>
    <r>
      <rPr>
        <sz val="11"/>
        <color theme="1"/>
        <rFont val="Arial"/>
        <family val="2"/>
      </rPr>
      <t xml:space="preserve">. </t>
    </r>
    <r>
      <rPr>
        <b/>
        <sz val="11"/>
        <color rgb="FFFF0000"/>
        <rFont val="Arial"/>
        <family val="2"/>
      </rPr>
      <t>Sept 24 Finance - 25/26 budget reduced from £9104 to £250 as dog bin emptying being removed in 24/25</t>
    </r>
  </si>
  <si>
    <r>
      <t xml:space="preserve">Nominal budget £1000 to cover insurance excesses etc (2020/21 Beacon Play area vandalism, covered by insurance - See N/C 4003). </t>
    </r>
    <r>
      <rPr>
        <b/>
        <sz val="11"/>
        <color rgb="FFFF0000"/>
        <rFont val="Arial"/>
        <family val="2"/>
      </rPr>
      <t>Sept 24 finance - Reduce from £1000 to £500 re excess and based on historic performance</t>
    </r>
  </si>
  <si>
    <r>
      <t xml:space="preserve">March 23 Council - approved £1K p/a from fund SGC to clean Graffitti. </t>
    </r>
    <r>
      <rPr>
        <b/>
        <sz val="11"/>
        <color rgb="FFFF0000"/>
        <rFont val="Arial"/>
        <family val="2"/>
      </rPr>
      <t>Sept 24 finance - Reduce from £1000 to £500 rbased on historic performance</t>
    </r>
  </si>
  <si>
    <r>
      <t xml:space="preserve">Nominal figure to cover repairs + insurance excesses etc. </t>
    </r>
    <r>
      <rPr>
        <b/>
        <sz val="11"/>
        <color rgb="FFFF0000"/>
        <rFont val="Arial"/>
        <family val="2"/>
      </rPr>
      <t>Sept 24 Finance - Reduce from £1K to £500 based on historic figures + excess</t>
    </r>
  </si>
  <si>
    <r>
      <t xml:space="preserve">Mainstream fixed price contract to Jan 2018. Based upon line rental @ £12 p/m = £36 per 1/4 = £144 p/a + calls est £5 p/m = £60 p/a + superfast broadband @ £31 p/m = £372 + £200 contingency.   Est £56 p/m with new contract in 2018 = £672.  June 2020 Finance Reduced from £742 to £420 Based historic figures. </t>
    </r>
    <r>
      <rPr>
        <b/>
        <sz val="11"/>
        <rFont val="Arial"/>
        <family val="2"/>
      </rPr>
      <t xml:space="preserve"> </t>
    </r>
    <r>
      <rPr>
        <sz val="11"/>
        <rFont val="Arial"/>
        <family val="2"/>
      </rPr>
      <t>Nov 20 Approved Internet phone contract charged to office NC 5032- £100 budget to cover mobile 4.99p p/m and premium rate calls - Dec 20 -23. June 21  Budget increased to £430 based upon actual billing.</t>
    </r>
    <r>
      <rPr>
        <sz val="11"/>
        <color rgb="FFFF3737"/>
        <rFont val="Arial"/>
        <family val="2"/>
      </rPr>
      <t xml:space="preserve"> </t>
    </r>
    <r>
      <rPr>
        <b/>
        <sz val="11"/>
        <color rgb="FFFF0000"/>
        <rFont val="Arial"/>
        <family val="2"/>
      </rPr>
      <t>Sept 23 council approved Mainstream telecom/broadband contract @ broadband = £402 p/a +  1 soft phone @ £150 p/a = £552 p/a + some calls (27/11/23 - 27/11/25 not fixed price contract)</t>
    </r>
    <r>
      <rPr>
        <sz val="11"/>
        <rFont val="Arial"/>
        <family val="2"/>
      </rPr>
      <t xml:space="preserve">. </t>
    </r>
    <r>
      <rPr>
        <b/>
        <u/>
        <sz val="11"/>
        <color rgb="FFFF0000"/>
        <rFont val="Arial"/>
        <family val="2"/>
      </rPr>
      <t>Sept 24 - Finance -Reduce from £600 to £200 with free Truespeed broadband</t>
    </r>
  </si>
  <si>
    <t>Baileys Court New Building/Refurb Work</t>
  </si>
  <si>
    <r>
      <rPr>
        <b/>
        <sz val="11"/>
        <color rgb="FFFF0000"/>
        <rFont val="Arial"/>
        <family val="2"/>
      </rPr>
      <t xml:space="preserve">Citizens Advice </t>
    </r>
    <r>
      <rPr>
        <sz val="11"/>
        <color rgb="FFFF0000"/>
        <rFont val="Arial"/>
        <family val="2"/>
      </rPr>
      <t>=</t>
    </r>
    <r>
      <rPr>
        <b/>
        <sz val="11"/>
        <color rgb="FFFF0000"/>
        <rFont val="Arial"/>
        <family val="2"/>
      </rPr>
      <t xml:space="preserve"> £17,938 approved Oct Council 24 for 2025/26, £17,416 approved Oct 23 Council for 24/25, £ 15834 approved Oct 22 for 2023/24, </t>
    </r>
    <r>
      <rPr>
        <b/>
        <sz val="11"/>
        <rFont val="Arial"/>
        <family val="2"/>
      </rPr>
      <t>£15,524 for 2022/23 approved Oct 21, £15220 for 2021/22 approved Oct 20 , £14,922 for 2020/21 approved Oct/Nov 19</t>
    </r>
    <r>
      <rPr>
        <b/>
        <sz val="11"/>
        <color rgb="FFFF0000"/>
        <rFont val="Arial"/>
        <family val="2"/>
      </rPr>
      <t xml:space="preserve"> </t>
    </r>
    <r>
      <rPr>
        <b/>
        <sz val="11"/>
        <rFont val="Arial"/>
        <family val="2"/>
      </rPr>
      <t>unchanged from</t>
    </r>
    <r>
      <rPr>
        <sz val="11"/>
        <rFont val="Arial"/>
        <family val="2"/>
      </rPr>
      <t xml:space="preserve"> 2019/20 approved 9/10/19 (£14633 for 2019/20 £14342 - </t>
    </r>
    <r>
      <rPr>
        <b/>
        <sz val="11"/>
        <rFont val="Arial"/>
        <family val="2"/>
      </rPr>
      <t xml:space="preserve">Finance under Local Govt Act 1972 section 142-2A </t>
    </r>
    <r>
      <rPr>
        <sz val="11"/>
        <rFont val="Arial"/>
        <family val="2"/>
      </rPr>
      <t xml:space="preserve">                              </t>
    </r>
    <r>
      <rPr>
        <sz val="11"/>
        <color indexed="8"/>
        <rFont val="Arial"/>
        <family val="2"/>
      </rPr>
      <t xml:space="preserve">                                                                                                                                               </t>
    </r>
    <r>
      <rPr>
        <sz val="11"/>
        <color rgb="FFFF0000"/>
        <rFont val="Arial"/>
        <family val="2"/>
      </rPr>
      <t xml:space="preserve"> </t>
    </r>
    <r>
      <rPr>
        <b/>
        <sz val="11"/>
        <rFont val="Arial"/>
        <family val="2"/>
      </rPr>
      <t xml:space="preserve">Dedicated Police officer </t>
    </r>
    <r>
      <rPr>
        <sz val="11"/>
        <rFont val="Arial"/>
        <family val="2"/>
      </rPr>
      <t>(50%  funding of 22 hrs p/w) =</t>
    </r>
    <r>
      <rPr>
        <u/>
        <sz val="11"/>
        <rFont val="Arial"/>
        <family val="2"/>
      </rPr>
      <t xml:space="preserve"> </t>
    </r>
    <r>
      <rPr>
        <b/>
        <u/>
        <sz val="11"/>
        <rFont val="Arial"/>
        <family val="2"/>
      </rPr>
      <t>STOPPED FOR 2023/24 ONWARDS</t>
    </r>
    <r>
      <rPr>
        <sz val="11"/>
        <rFont val="Arial"/>
        <family val="2"/>
      </rPr>
      <t xml:space="preserve">, </t>
    </r>
    <r>
      <rPr>
        <b/>
        <sz val="11"/>
        <color rgb="FFFF0000"/>
        <rFont val="Arial"/>
        <family val="2"/>
      </rPr>
      <t xml:space="preserve"> </t>
    </r>
    <r>
      <rPr>
        <b/>
        <sz val="11"/>
        <rFont val="Arial"/>
        <family val="2"/>
      </rPr>
      <t>£16,454 for 2022/23,£16156 for 2021/22 approved Oct 20,</t>
    </r>
    <r>
      <rPr>
        <sz val="11"/>
        <rFont val="Arial"/>
        <family val="2"/>
      </rPr>
      <t xml:space="preserve"> </t>
    </r>
    <r>
      <rPr>
        <b/>
        <sz val="11"/>
        <rFont val="Arial"/>
        <family val="2"/>
      </rPr>
      <t>£15821 for 2020/21</t>
    </r>
    <r>
      <rPr>
        <sz val="11"/>
        <rFont val="Arial"/>
        <family val="2"/>
      </rPr>
      <t xml:space="preserve"> agreed Oct/Nov 19. 2019/20 = </t>
    </r>
    <r>
      <rPr>
        <b/>
        <sz val="11"/>
        <rFont val="Arial"/>
        <family val="2"/>
      </rPr>
      <t>£14949</t>
    </r>
    <r>
      <rPr>
        <sz val="11"/>
        <rFont val="Arial"/>
        <family val="2"/>
      </rPr>
      <t xml:space="preserve"> approved 10/10/18 </t>
    </r>
  </si>
  <si>
    <r>
      <t>Lottery Funding -</t>
    </r>
    <r>
      <rPr>
        <u/>
        <sz val="11"/>
        <rFont val="Arial"/>
        <family val="2"/>
      </rPr>
      <t xml:space="preserve"> £14,500 over 3 years commencing 4 Oct 24 for 2 additional youth sessions pre week</t>
    </r>
    <r>
      <rPr>
        <b/>
        <u/>
        <sz val="11"/>
        <rFont val="Arial"/>
        <family val="2"/>
      </rPr>
      <t xml:space="preserve"> - See also NC 5517</t>
    </r>
  </si>
  <si>
    <r>
      <t xml:space="preserve">Youth Grant Funding 17 -Lottery funding- </t>
    </r>
    <r>
      <rPr>
        <b/>
        <sz val="12"/>
        <color rgb="FFFF0000"/>
        <rFont val="Arial"/>
        <family val="2"/>
      </rPr>
      <t>NEW</t>
    </r>
  </si>
  <si>
    <r>
      <rPr>
        <sz val="11"/>
        <color theme="1"/>
        <rFont val="Arial"/>
        <family val="2"/>
      </rPr>
      <t xml:space="preserve">Barclaycard  etc approx £35 p/m = </t>
    </r>
    <r>
      <rPr>
        <b/>
        <sz val="11"/>
        <color theme="1"/>
        <rFont val="Arial"/>
        <family val="2"/>
      </rPr>
      <t>£420</t>
    </r>
    <r>
      <rPr>
        <sz val="11"/>
        <color theme="1"/>
        <rFont val="Arial"/>
        <family val="2"/>
      </rPr>
      <t xml:space="preserve"> + Barclays bank, internet &amp; payflow charges charges est £80 p/m less 20% loyalty bonus = </t>
    </r>
    <r>
      <rPr>
        <b/>
        <sz val="11"/>
        <color theme="1"/>
        <rFont val="Arial"/>
        <family val="2"/>
      </rPr>
      <t>£770</t>
    </r>
    <r>
      <rPr>
        <sz val="11"/>
        <color theme="1"/>
        <rFont val="Arial"/>
        <family val="2"/>
      </rPr>
      <t xml:space="preserve"> + other items such as cancelled cheques etc </t>
    </r>
    <r>
      <rPr>
        <b/>
        <sz val="11"/>
        <color theme="1"/>
        <rFont val="Arial"/>
        <family val="2"/>
      </rPr>
      <t xml:space="preserve">£100. </t>
    </r>
    <r>
      <rPr>
        <sz val="11"/>
        <color theme="1"/>
        <rFont val="Arial"/>
        <family val="2"/>
      </rPr>
      <t>June 2020 reduced from £1306 to £1200 based upon historic figures. 2022/23 Based upon expected costs = £1400.</t>
    </r>
    <r>
      <rPr>
        <sz val="11"/>
        <color rgb="FFFF0000"/>
        <rFont val="Arial"/>
        <family val="2"/>
      </rPr>
      <t xml:space="preserve"> </t>
    </r>
    <r>
      <rPr>
        <b/>
        <sz val="11"/>
        <rFont val="Arial"/>
        <family val="2"/>
      </rPr>
      <t xml:space="preserve">May 22 reduced to £1K. </t>
    </r>
    <r>
      <rPr>
        <b/>
        <sz val="11"/>
        <color rgb="FFFF0000"/>
        <rFont val="Arial"/>
        <family val="2"/>
      </rPr>
      <t>Nov 23 reduced from £1.4K to £1K for 23/24 + 24/25</t>
    </r>
    <r>
      <rPr>
        <sz val="11"/>
        <rFont val="Arial"/>
        <family val="2"/>
      </rPr>
      <t xml:space="preserve">. </t>
    </r>
    <r>
      <rPr>
        <b/>
        <sz val="11"/>
        <color theme="1"/>
        <rFont val="Arial"/>
        <family val="2"/>
      </rPr>
      <t xml:space="preserve">Nov 24 Finance - Reduced from £1000 to £400 following move from Barclaycard to Sum Up saving £30p/m - projection £19 Barclays a/c monthly charges + Sum Up est £10 - £16 p/m est £330.00 p/a for 24/25. </t>
    </r>
  </si>
  <si>
    <r>
      <t xml:space="preserve"> </t>
    </r>
    <r>
      <rPr>
        <b/>
        <u/>
        <sz val="11"/>
        <rFont val="Arial"/>
        <family val="2"/>
      </rPr>
      <t>2023/24</t>
    </r>
    <r>
      <rPr>
        <u/>
        <sz val="11"/>
        <rFont val="Arial"/>
        <family val="2"/>
      </rPr>
      <t xml:space="preserve"> </t>
    </r>
    <r>
      <rPr>
        <sz val="11"/>
        <rFont val="Arial"/>
        <family val="2"/>
      </rPr>
      <t xml:space="preserve">UTB 1 Year bonds -£100K @ 3.15% to 1/10/23 and est 2.5% 1/11/23 - 31/3/24 = </t>
    </r>
    <r>
      <rPr>
        <b/>
        <sz val="11"/>
        <rFont val="Arial"/>
        <family val="2"/>
      </rPr>
      <t xml:space="preserve">£2825 </t>
    </r>
    <r>
      <rPr>
        <sz val="11"/>
        <rFont val="Arial"/>
        <family val="2"/>
      </rPr>
      <t xml:space="preserve">+ UTB £53745.48 @ 3.5% to 24/12/23 + est 2.5% 25/12/23 - 31/3/24 = </t>
    </r>
    <r>
      <rPr>
        <b/>
        <sz val="11"/>
        <rFont val="Arial"/>
        <family val="2"/>
      </rPr>
      <t xml:space="preserve">£1747 </t>
    </r>
    <r>
      <rPr>
        <sz val="11"/>
        <rFont val="Arial"/>
        <family val="2"/>
      </rPr>
      <t xml:space="preserve">+  C&amp;C 1 year bond = £81,971.55 @ 3.8% to 11/1/24 + est 2.5% 12/1/24 - 31/3/24 = </t>
    </r>
    <r>
      <rPr>
        <b/>
        <sz val="11"/>
        <rFont val="Arial"/>
        <family val="2"/>
      </rPr>
      <t xml:space="preserve">£2884 </t>
    </r>
    <r>
      <rPr>
        <sz val="11"/>
        <rFont val="Arial"/>
        <family val="2"/>
      </rPr>
      <t xml:space="preserve">+ C&amp;C Notice a/c est £82600 @ 2% </t>
    </r>
    <r>
      <rPr>
        <b/>
        <sz val="11"/>
        <rFont val="Arial"/>
        <family val="2"/>
      </rPr>
      <t xml:space="preserve">= £1652 </t>
    </r>
    <r>
      <rPr>
        <sz val="11"/>
        <rFont val="Arial"/>
        <family val="2"/>
      </rPr>
      <t xml:space="preserve"> est £520 per 1/4 =</t>
    </r>
    <r>
      <rPr>
        <b/>
        <sz val="11"/>
        <rFont val="Arial"/>
        <family val="2"/>
      </rPr>
      <t xml:space="preserve"> £2080 </t>
    </r>
    <r>
      <rPr>
        <sz val="11"/>
        <rFont val="Arial"/>
        <family val="2"/>
      </rPr>
      <t xml:space="preserve">+ Barclays Active est </t>
    </r>
    <r>
      <rPr>
        <b/>
        <sz val="11"/>
        <rFont val="Arial"/>
        <family val="2"/>
      </rPr>
      <t xml:space="preserve">£150. </t>
    </r>
    <r>
      <rPr>
        <sz val="11"/>
        <rFont val="Arial"/>
        <family val="2"/>
      </rPr>
      <t>2023/24 tota</t>
    </r>
    <r>
      <rPr>
        <b/>
        <sz val="11"/>
        <rFont val="Arial"/>
        <family val="2"/>
      </rPr>
      <t xml:space="preserve">l = £11,338                                                                                           </t>
    </r>
    <r>
      <rPr>
        <b/>
        <u/>
        <sz val="12"/>
        <rFont val="Arial"/>
        <family val="2"/>
      </rPr>
      <t>2023/24 - Amended Oct 23 Finance</t>
    </r>
    <r>
      <rPr>
        <b/>
        <u/>
        <sz val="11"/>
        <rFont val="Arial"/>
        <family val="2"/>
      </rPr>
      <t xml:space="preserve"> </t>
    </r>
    <r>
      <rPr>
        <sz val="11"/>
        <rFont val="Arial"/>
        <family val="2"/>
      </rPr>
      <t xml:space="preserve">- increase from £11500 to £21,000 based upon:           UTB 1 Year bonds -£100K @ 3.15% to 4/10/23 = </t>
    </r>
    <r>
      <rPr>
        <b/>
        <u/>
        <sz val="11"/>
        <rFont val="Arial"/>
        <family val="2"/>
      </rPr>
      <t>£1090.37</t>
    </r>
    <r>
      <rPr>
        <sz val="11"/>
        <rFont val="Arial"/>
        <family val="2"/>
      </rPr>
      <t xml:space="preserve"> and 5.1% 5/10/23 - 31/3/24 = </t>
    </r>
    <r>
      <rPr>
        <b/>
        <u/>
        <sz val="11"/>
        <rFont val="Arial"/>
        <family val="2"/>
      </rPr>
      <t>£2505</t>
    </r>
    <r>
      <rPr>
        <sz val="11"/>
        <rFont val="Arial"/>
        <family val="2"/>
      </rPr>
      <t xml:space="preserve"> + UTB £53745.48 @ 3.5% to 24/12/23 = </t>
    </r>
    <r>
      <rPr>
        <b/>
        <u/>
        <sz val="11"/>
        <rFont val="Arial"/>
        <family val="2"/>
      </rPr>
      <t>£1401.80</t>
    </r>
    <r>
      <rPr>
        <sz val="11"/>
        <rFont val="Arial"/>
        <family val="2"/>
      </rPr>
      <t xml:space="preserve"> + est 4% 25/12/23 - 31/3/24 = </t>
    </r>
    <r>
      <rPr>
        <b/>
        <sz val="11"/>
        <rFont val="Arial"/>
        <family val="2"/>
      </rPr>
      <t>£550.36</t>
    </r>
    <r>
      <rPr>
        <sz val="11"/>
        <rFont val="Arial"/>
        <family val="2"/>
      </rPr>
      <t xml:space="preserve"> +  C&amp;C 1 year bond = £81,971.55 @ 3.8% to 11/1/24 = £2431.48 + est 4% 12/1/24 - 31/3/24 = £706 + C&amp;C 180 Day Notice a/c = £1017.29 received April-July23 +  est £260 p/m Aug - Mar = £2080 . CCLA = £625.23 received April - June 23 + est £540 per/4 for remaining 3 Qtrs = £1620.00  + Barclays Active £2720.12 received 6/3 - 4/6 = £1964.53 for 23/24 + est £2500 for the next 3 Qtrs = £75003. </t>
    </r>
    <r>
      <rPr>
        <b/>
        <sz val="11"/>
        <rFont val="Arial"/>
        <family val="2"/>
      </rPr>
      <t xml:space="preserve">Total = £23,424.93 - </t>
    </r>
    <r>
      <rPr>
        <b/>
        <u/>
        <sz val="11"/>
        <rFont val="Arial"/>
        <family val="2"/>
      </rPr>
      <t>Update Budget from £11,500 to £22K</t>
    </r>
    <r>
      <rPr>
        <b/>
        <sz val="11"/>
        <rFont val="Arial"/>
        <family val="2"/>
      </rPr>
      <t xml:space="preserve">       </t>
    </r>
    <r>
      <rPr>
        <b/>
        <sz val="11"/>
        <color rgb="FFFF0000"/>
        <rFont val="Arial"/>
        <family val="2"/>
      </rPr>
      <t xml:space="preserve">              </t>
    </r>
    <r>
      <rPr>
        <sz val="11"/>
        <color rgb="FFFF0000"/>
        <rFont val="Arial"/>
        <family val="2"/>
      </rPr>
      <t xml:space="preserve">                                                                                                                                                                                                   </t>
    </r>
    <r>
      <rPr>
        <b/>
        <u/>
        <sz val="11"/>
        <color rgb="FFFF0000"/>
        <rFont val="Arial"/>
        <family val="2"/>
      </rPr>
      <t>2024/25</t>
    </r>
    <r>
      <rPr>
        <sz val="11"/>
        <color rgb="FFFF0000"/>
        <rFont val="Arial"/>
        <family val="2"/>
      </rPr>
      <t xml:space="preserve">  Est £320K invested at 3.5% = £11.2K + CCLA £2K + Barclays £2K = </t>
    </r>
    <r>
      <rPr>
        <b/>
        <u/>
        <sz val="11"/>
        <color rgb="FFFF0000"/>
        <rFont val="Arial"/>
        <family val="2"/>
      </rPr>
      <t>£15200.</t>
    </r>
    <r>
      <rPr>
        <b/>
        <sz val="11"/>
        <color rgb="FFFF0000"/>
        <rFont val="Arial"/>
        <family val="2"/>
      </rPr>
      <t xml:space="preserve"> Nov Council 24 increase to £33,000 based upon etimated updated projections</t>
    </r>
    <r>
      <rPr>
        <sz val="11"/>
        <color rgb="FFFF0000"/>
        <rFont val="Arial"/>
        <family val="2"/>
      </rPr>
      <t xml:space="preserve"> + 24/25 increased to £25K</t>
    </r>
  </si>
  <si>
    <r>
      <t xml:space="preserve">2017/18 + 2018/19 Firework cost = £5000 + balance to cover sound system, security, barriers, road closure, skip etc = est £3860. 2019/20 agreed increasing firework element by 6% to reverse frozen costs (£4910 x 6%) = £5,200 + balance for barriers, security , sound system etc = est £3500 (2018 cost) + 3% = £3660 approved 21/11/18. April 19 Finance approved Fully Fused 2019 contract @ £4590. Jan 20 Council approved quiet fireworks @ £4195. Other est costs = security £800 + skips £300 + volunteers £75 + photos £75 + barriers £1300 = £2550. June 2020 Finance approved budget reduced from £8714 to £8100 agreed by Vicky. Sept 2020- Firework event cancelled and all costs and deposit moved against 2020/21 but donate the final firework payment to the mayors charity. Vicky agreed £8100 is realistic for 2021.  Nov 21- Approved £9K for </t>
    </r>
    <r>
      <rPr>
        <b/>
        <sz val="11"/>
        <rFont val="Arial"/>
        <family val="2"/>
      </rPr>
      <t>2022/23 (agreed with Vicky 26/10/21). Jan 22 - Increase by £300 to £9300 to allow hire of extra security people</t>
    </r>
    <r>
      <rPr>
        <sz val="11"/>
        <rFont val="Arial"/>
        <family val="2"/>
      </rPr>
      <t xml:space="preserve"> and Dynamite Fireworks 3 year contract approved  Nov 22 -24 @ £4195 p/a. </t>
    </r>
    <r>
      <rPr>
        <b/>
        <sz val="11"/>
        <color rgb="FFFF3737"/>
        <rFont val="Arial"/>
        <family val="2"/>
      </rPr>
      <t>Mar 23 - approved musical fireworks for 2023 at additional £2.1K (approved £6700 increased from £4592) Budget increased from £9579 to £11,679</t>
    </r>
    <r>
      <rPr>
        <sz val="11"/>
        <rFont val="Arial"/>
        <family val="2"/>
      </rPr>
      <t xml:space="preserve">. </t>
    </r>
    <r>
      <rPr>
        <u/>
        <sz val="11"/>
        <color rgb="FFFF0000"/>
        <rFont val="Arial"/>
        <family val="2"/>
      </rPr>
      <t>Dec 23 Tfr £1180 surplus to N/C 3012</t>
    </r>
    <r>
      <rPr>
        <sz val="11"/>
        <rFont val="Arial"/>
        <family val="2"/>
      </rPr>
      <t>.</t>
    </r>
    <r>
      <rPr>
        <b/>
        <sz val="11"/>
        <color rgb="FFFF0000"/>
        <rFont val="Arial"/>
        <family val="2"/>
      </rPr>
      <t xml:space="preserve"> Nov 24 Finance - Reduce 24/25 budget by £700 to £10,980 and move to N/C 5065.</t>
    </r>
    <r>
      <rPr>
        <b/>
        <sz val="11"/>
        <rFont val="Arial"/>
        <family val="2"/>
      </rPr>
      <t>Nov 24 council approved 25/26 + 26/27 budget at £12K fixed for 2 years</t>
    </r>
  </si>
  <si>
    <r>
      <rPr>
        <sz val="11"/>
        <rFont val="Arial"/>
        <family val="2"/>
      </rPr>
      <t xml:space="preserve">Contract - 1100L general waste x 2 p/w (BW + MCO) + 1100L Recycling x 1 p/w - 3 year fixed rate contract to 2/4/2021 @ £35.15 p/w + £2 Duty of care p/m = £1851.80 + June 19 LY&amp;A approved 1 additional general waste  (now have 3) @ £683.80 p/a = </t>
    </r>
    <r>
      <rPr>
        <u/>
        <sz val="11"/>
        <rFont val="Arial"/>
        <family val="2"/>
      </rPr>
      <t>£2535.60</t>
    </r>
    <r>
      <rPr>
        <sz val="11"/>
        <rFont val="Arial"/>
        <family val="2"/>
      </rPr>
      <t xml:space="preserve">.  June 2020 Finance Increased from £2100 to £3K Based on 2019/20 figures. </t>
    </r>
    <r>
      <rPr>
        <b/>
        <sz val="11"/>
        <rFont val="Arial"/>
        <family val="2"/>
      </rPr>
      <t xml:space="preserve">Oct 20 increase to £4K linked to usage. 2021/22 </t>
    </r>
    <r>
      <rPr>
        <sz val="11"/>
        <rFont val="Arial"/>
        <family val="2"/>
      </rPr>
      <t xml:space="preserve">set at average monthly cost linked to volumes etc is approx £400 p/m = </t>
    </r>
    <r>
      <rPr>
        <b/>
        <sz val="11"/>
        <rFont val="Arial"/>
        <family val="2"/>
      </rPr>
      <t>£4800</t>
    </r>
    <r>
      <rPr>
        <sz val="11"/>
        <rFont val="Arial"/>
        <family val="2"/>
      </rPr>
      <t>.</t>
    </r>
    <r>
      <rPr>
        <sz val="11"/>
        <color theme="1"/>
        <rFont val="Arial"/>
        <family val="2"/>
      </rPr>
      <t xml:space="preserve"> </t>
    </r>
    <r>
      <rPr>
        <b/>
        <sz val="11"/>
        <color rgb="FFFF0000"/>
        <rFont val="Arial"/>
        <family val="2"/>
      </rPr>
      <t>Feb 24 Council approved Suez 1/4/24 -31/3/27 - £5557 p/a fixed price + £500 for additionals</t>
    </r>
    <r>
      <rPr>
        <sz val="11"/>
        <color theme="1"/>
        <rFont val="Arial"/>
        <family val="2"/>
      </rPr>
      <t>-</t>
    </r>
    <r>
      <rPr>
        <b/>
        <sz val="11"/>
        <rFont val="Arial"/>
        <family val="2"/>
      </rPr>
      <t xml:space="preserve"> Nov 24 Council approved 25/26 Increase budget by £2469 to £8526  to cover 2 extra bins for litter bin emptying</t>
    </r>
  </si>
  <si>
    <t>The tax base figure is based upon approved figures from Sth Glos in Dec 2024. The final precept was approved by Council in January 2025 with 5% increase.</t>
  </si>
  <si>
    <t>Street Furniture - also see N/C 3019</t>
  </si>
  <si>
    <r>
      <t xml:space="preserve">Ionet annual contract </t>
    </r>
    <r>
      <rPr>
        <b/>
        <sz val="11"/>
        <rFont val="Arial"/>
        <family val="2"/>
      </rPr>
      <t xml:space="preserve">£1600 </t>
    </r>
    <r>
      <rPr>
        <sz val="11"/>
        <rFont val="Arial"/>
        <family val="2"/>
      </rPr>
      <t>(3 year fixed price 21/3/20 to 21/3/22)</t>
    </r>
    <r>
      <rPr>
        <b/>
        <sz val="11"/>
        <rFont val="Arial"/>
        <family val="2"/>
      </rPr>
      <t xml:space="preserve">, </t>
    </r>
    <r>
      <rPr>
        <sz val="11"/>
        <rFont val="Arial"/>
        <family val="2"/>
      </rPr>
      <t>Carepaks/warranties - printers colour printer warranty</t>
    </r>
    <r>
      <rPr>
        <b/>
        <sz val="11"/>
        <rFont val="Arial"/>
        <family val="2"/>
      </rPr>
      <t xml:space="preserve"> £400 + £300 </t>
    </r>
    <r>
      <rPr>
        <sz val="11"/>
        <rFont val="Arial"/>
        <family val="2"/>
      </rPr>
      <t>p/a</t>
    </r>
    <r>
      <rPr>
        <b/>
        <sz val="11"/>
        <rFont val="Arial"/>
        <family val="2"/>
      </rPr>
      <t xml:space="preserve"> </t>
    </r>
    <r>
      <rPr>
        <sz val="11"/>
        <rFont val="Arial"/>
        <family val="2"/>
      </rPr>
      <t>+ 2 servers</t>
    </r>
    <r>
      <rPr>
        <b/>
        <sz val="11"/>
        <rFont val="Arial"/>
        <family val="2"/>
      </rPr>
      <t xml:space="preserve"> removed in 2020  </t>
    </r>
    <r>
      <rPr>
        <sz val="11"/>
        <rFont val="Arial"/>
        <family val="2"/>
      </rPr>
      <t xml:space="preserve">+ Adobe renewal </t>
    </r>
    <r>
      <rPr>
        <b/>
        <sz val="11"/>
        <rFont val="Arial"/>
        <family val="2"/>
      </rPr>
      <t>£20</t>
    </r>
    <r>
      <rPr>
        <sz val="11"/>
        <rFont val="Arial"/>
        <family val="2"/>
      </rPr>
      <t xml:space="preserve"> + Data Protection </t>
    </r>
    <r>
      <rPr>
        <b/>
        <sz val="11"/>
        <rFont val="Arial"/>
        <family val="2"/>
      </rPr>
      <t>£70</t>
    </r>
    <r>
      <rPr>
        <sz val="11"/>
        <rFont val="Arial"/>
        <family val="2"/>
      </rPr>
      <t xml:space="preserve"> annual + Zoom </t>
    </r>
    <r>
      <rPr>
        <b/>
        <sz val="11"/>
        <rFont val="Arial"/>
        <family val="2"/>
      </rPr>
      <t>£120</t>
    </r>
    <r>
      <rPr>
        <sz val="11"/>
        <rFont val="Arial"/>
        <family val="2"/>
      </rPr>
      <t xml:space="preserve"> +other items/ virus cleaning/additional warranties etc </t>
    </r>
    <r>
      <rPr>
        <b/>
        <sz val="11"/>
        <rFont val="Arial"/>
        <family val="2"/>
      </rPr>
      <t>£1000</t>
    </r>
    <r>
      <rPr>
        <sz val="11"/>
        <rFont val="Arial"/>
        <family val="2"/>
      </rPr>
      <t xml:space="preserve">.  2021/22 Budget Reduced as Servers not required after moving to the cloud in 2020. </t>
    </r>
    <r>
      <rPr>
        <sz val="11"/>
        <color rgb="FFFF0000"/>
        <rFont val="Arial"/>
        <family val="2"/>
      </rPr>
      <t>March 22 approved Ionet/Soltech IT contract - £1800 (3 year fixed @ 21/3/22 - 20/3/25)</t>
    </r>
    <r>
      <rPr>
        <sz val="11"/>
        <rFont val="Arial"/>
        <family val="2"/>
      </rPr>
      <t xml:space="preserve">. </t>
    </r>
    <r>
      <rPr>
        <b/>
        <sz val="11"/>
        <rFont val="Arial"/>
        <family val="2"/>
      </rPr>
      <t>Sept 23 Finance - Approved Sage HR system on 5 year contract</t>
    </r>
    <r>
      <rPr>
        <sz val="11"/>
        <rFont val="Arial"/>
        <family val="2"/>
      </rPr>
      <t>-</t>
    </r>
    <r>
      <rPr>
        <b/>
        <sz val="11"/>
        <rFont val="Arial"/>
        <family val="2"/>
      </rPr>
      <t xml:space="preserve"> Business Package (includes Sage a/c, payroll and Core HR @ £312 p/m + users = £93.25 p/m - Annual discount = £58 p/m = £347.25 p/m = </t>
    </r>
    <r>
      <rPr>
        <b/>
        <u/>
        <sz val="11"/>
        <rFont val="Arial"/>
        <family val="2"/>
      </rPr>
      <t>£4167 p/a</t>
    </r>
    <r>
      <rPr>
        <b/>
        <sz val="11"/>
        <rFont val="Arial"/>
        <family val="2"/>
      </rPr>
      <t xml:space="preserve"> + HR timesheets,holidays and performance (21 x £6 p/m) =  £126 p/m = </t>
    </r>
    <r>
      <rPr>
        <b/>
        <u/>
        <sz val="11"/>
        <rFont val="Arial"/>
        <family val="2"/>
      </rPr>
      <t xml:space="preserve">£1512 p/a </t>
    </r>
    <r>
      <rPr>
        <b/>
        <sz val="11"/>
        <rFont val="Arial"/>
        <family val="2"/>
      </rPr>
      <t xml:space="preserve">+ warranties &amp; repairs etc est </t>
    </r>
    <r>
      <rPr>
        <b/>
        <u/>
        <sz val="11"/>
        <rFont val="Arial"/>
        <family val="2"/>
      </rPr>
      <t>£1500 = £7180</t>
    </r>
    <r>
      <rPr>
        <b/>
        <sz val="11"/>
        <rFont val="Arial"/>
        <family val="2"/>
      </rPr>
      <t>.</t>
    </r>
    <r>
      <rPr>
        <sz val="11"/>
        <rFont val="Arial"/>
        <family val="2"/>
      </rPr>
      <t xml:space="preserve"> </t>
    </r>
    <r>
      <rPr>
        <b/>
        <sz val="11"/>
        <rFont val="Arial"/>
        <family val="2"/>
      </rPr>
      <t xml:space="preserve">Chairs approved Bright HR to replace Sage HR - Reported Dec 23 Finance - £107.10 p/m + Feb 24 added H&amp;S @ £30.6 p/m = £137.70 p/m (1652.40 p/a) fixed for 5 years 30/11/23 - 29/11/28 (1st and last 6 months of contract free therefore chargeable £137.70 p/m 30/5/24 - 30/5/28). </t>
    </r>
    <r>
      <rPr>
        <b/>
        <u/>
        <sz val="11"/>
        <rFont val="Arial"/>
        <family val="2"/>
      </rPr>
      <t>Dec 23 Sage payroll &amp; Accounts reverted to original contract @ £333 p/m = (£3996 p/a)</t>
    </r>
    <r>
      <rPr>
        <sz val="11"/>
        <rFont val="Arial"/>
        <family val="2"/>
      </rPr>
      <t xml:space="preserve">. Microsoft Virus Licence (3 years Jan 24 - 27) £275 p/a) + Adobe £20 p/a + warranties and additionals inc Virus cleaning etc est £600. </t>
    </r>
    <r>
      <rPr>
        <b/>
        <sz val="11"/>
        <color rgb="FFFF0000"/>
        <rFont val="Arial"/>
        <family val="2"/>
      </rPr>
      <t>Jan 24 Council approved budget uplift for 2024/25 to £8K</t>
    </r>
    <r>
      <rPr>
        <sz val="11"/>
        <color rgb="FFFF0000"/>
        <rFont val="Arial"/>
        <family val="2"/>
      </rPr>
      <t xml:space="preserve">. </t>
    </r>
    <r>
      <rPr>
        <b/>
        <sz val="11"/>
        <color rgb="FFFF0000"/>
        <rFont val="Arial"/>
        <family val="2"/>
      </rPr>
      <t>Jan 24 Finance approved Multifunction Authentication  est £300 set up + SaaS back ups @ £3.50 p/m +12 staff = £42 p/m = £504 p/a  (£300 training  to N/C 5068). 28 Feb Council approved increasing budget to £8.5K to cover annual SaaS Backups + H&amp;S added to Bright HR increase from £107.10 to £137.70p/m 9fixed to 29/11/28- 1st  3 months and final 6 months free £300 uplift applied from £8.5K.</t>
    </r>
    <r>
      <rPr>
        <sz val="11"/>
        <rFont val="Arial"/>
        <family val="2"/>
      </rPr>
      <t xml:space="preserve"> </t>
    </r>
    <r>
      <rPr>
        <b/>
        <u/>
        <sz val="11"/>
        <color rgb="FFFF0000"/>
        <rFont val="Arial"/>
        <family val="2"/>
      </rPr>
      <t>Sept Finance authorised additional Soltech charges for 3 staff for cloud licence and back ups - Budget increased by £494 to £9344.</t>
    </r>
    <r>
      <rPr>
        <sz val="11"/>
        <rFont val="Arial"/>
        <family val="2"/>
      </rPr>
      <t xml:space="preserve"> </t>
    </r>
    <r>
      <rPr>
        <u/>
        <sz val="11"/>
        <color rgb="FFFF0000"/>
        <rFont val="Arial"/>
        <family val="2"/>
      </rPr>
      <t>Jan 25 Council approved Soltech IT contract @ £1680 (22/3/25 - 21/3/28)</t>
    </r>
  </si>
  <si>
    <t xml:space="preserve">2006/7 Based 6822 @ £102 Band D properties.                                                                                      2007/8 Based on 6867 @ £107 Band D properties                                                                                2008/9 Based upon 6896 @ £111.50 Band D properties.                                                                          2009/10 Based upon 6953 @ £111.50 Band D properties (frozen from 2008/9)                                                                                               2010/11 Based upon 6958 @ £113.50 Band d Properties                                                                        2011/12 Based upon 6985 £113.50 Band D properties (frozen from 2010/11)                                                                                                 2012/13 Based upon 6983 £113.50 Band D properties (frozen from 2011/12)                                                                                                                                                                                     2013/14 Based upon 6321 £113.50 Band D Properties (frozen + £48,416 grants)                                                                                                                                                                                    2014/15 Based upon 6739 @ £113.50 Band D Properties (frozen + £44,961 grants)                                                                                                              2015/16 Based upon 6814 @ £113.50 Band D Properties (frozen + £40,294 grants)                                                                                                               2016/17 based upon  6901 @ £115.20 Band D properties (+  £19,073 grant)                                                                                             2017/18  based upon 6875 @ £115.78 Band D properties (+  £11,130 grant)                                                                                              2018/19 based upon 6869 @ £115.78 Band D properties (+ £6599 grant)                                                                                                              2019/20 based upon 6901 @ £115.78 Band D properties (+ £2347 grant)                                                                                             2020/21 based upon 6974 @ £116.94 Band D properties                                                                                  2021/22 based upon 6941 @ £116.94 Band D properties                                     2022/23 based upon 6934 @ £116.94 Band D Properties                        2023/24 based upon 6979 @ £116.94 Band D Properties                        2024/25 based upon 6957 @ £122.78 Band D properties                          2025/26 based upon 7006 @ £128.92 Band D properties                                                                                                                                </t>
  </si>
  <si>
    <t>Projects &amp; Events Officer Budget - New</t>
  </si>
  <si>
    <r>
      <t xml:space="preserve">£7446 for Beacon play area Playbond surface flooring donated by FOJG reversed by N/C 9020. </t>
    </r>
    <r>
      <rPr>
        <b/>
        <sz val="11"/>
        <rFont val="Arial"/>
        <family val="2"/>
      </rPr>
      <t>Installed Jan 2019</t>
    </r>
    <r>
      <rPr>
        <sz val="11"/>
        <rFont val="Arial"/>
        <family val="2"/>
      </rPr>
      <t xml:space="preserve">. </t>
    </r>
    <r>
      <rPr>
        <b/>
        <sz val="11"/>
        <color rgb="FFFF0000"/>
        <rFont val="Arial"/>
        <family val="2"/>
      </rPr>
      <t>Feb 25 - £1120 added re bin and bench for fitness area donated by installer - Reversed 9038</t>
    </r>
  </si>
  <si>
    <r>
      <t xml:space="preserve">Nominal figure for Photocopying &amp; other office income - Based upon 2015/16/ actual figures to date. </t>
    </r>
    <r>
      <rPr>
        <b/>
        <sz val="11"/>
        <rFont val="Arial"/>
        <family val="2"/>
      </rPr>
      <t>March 23 - £240 Barclays compensation.</t>
    </r>
    <r>
      <rPr>
        <b/>
        <sz val="11"/>
        <color rgb="FFFF0000"/>
        <rFont val="Arial"/>
        <family val="2"/>
      </rPr>
      <t xml:space="preserve"> Dec 24 - Finance Increase from £300 re DDA Councillor laptop funding see also N/C 9015</t>
    </r>
  </si>
  <si>
    <r>
      <rPr>
        <b/>
        <u/>
        <sz val="11"/>
        <color theme="1"/>
        <rFont val="Arial"/>
        <family val="2"/>
      </rPr>
      <t>SEE ALSO SPORTS HIRE NC 4106</t>
    </r>
    <r>
      <rPr>
        <b/>
        <sz val="11"/>
        <color theme="1"/>
        <rFont val="Arial"/>
        <family val="2"/>
      </rPr>
      <t>.</t>
    </r>
    <r>
      <rPr>
        <sz val="11"/>
        <color theme="1"/>
        <rFont val="Arial"/>
        <family val="2"/>
      </rPr>
      <t xml:space="preserve">   19/4/17 - Budget increased to £64K linked to prior performance.</t>
    </r>
    <r>
      <rPr>
        <u/>
        <sz val="11"/>
        <color theme="1"/>
        <rFont val="Arial"/>
        <family val="2"/>
      </rPr>
      <t xml:space="preserve"> 2018/19 Retain current £64K budget and increase by 2.5% compared to Sept 2017 CPI @ 3%</t>
    </r>
    <r>
      <rPr>
        <sz val="11"/>
        <color theme="1"/>
        <rFont val="Arial"/>
        <family val="2"/>
      </rPr>
      <t>. Aug 19 Finance approved budget reduction to £56K. June 2020 council approved budget  reduced from £57120 by 40% and then corrected from 2021/22 onwards. April 21 Budget increased to £22K based upon 2020/21 year end figures.</t>
    </r>
    <r>
      <rPr>
        <b/>
        <sz val="11"/>
        <color theme="1"/>
        <rFont val="Arial"/>
        <family val="2"/>
      </rPr>
      <t xml:space="preserve"> Oct 21 - Increase from £23K to £30K. </t>
    </r>
    <r>
      <rPr>
        <u/>
        <sz val="11"/>
        <color theme="1"/>
        <rFont val="Arial"/>
        <family val="2"/>
      </rPr>
      <t xml:space="preserve">Dec 21  Increase to £45K for 2021/22 + £48K for 2022/23. </t>
    </r>
    <r>
      <rPr>
        <b/>
        <sz val="11"/>
        <color theme="1"/>
        <rFont val="Arial"/>
        <family val="2"/>
      </rPr>
      <t>Dec 22 - Increase budget from£48K to £53K</t>
    </r>
    <r>
      <rPr>
        <sz val="11"/>
        <rFont val="Arial"/>
        <family val="2"/>
      </rPr>
      <t xml:space="preserve">. </t>
    </r>
  </si>
  <si>
    <r>
      <rPr>
        <sz val="12"/>
        <color theme="1"/>
        <rFont val="Arial"/>
        <family val="2"/>
      </rPr>
      <t xml:space="preserve">19/4/17 Budget reduced to £12K linked to previous performance. 2018/19 Increase budget by 2.5% compared to Sept 2017 CPI @ 3%. April 18 Finance increased budget to £13500. Aug 19 Finance approved budget increase to £16K. June 2020 Finance approved 2020.21 Income reduced £16320 by 40%. Jan 21 approved carry 2020/21 budget forward to 2021/22 and then corrected from 2021/22 onwards. April 21 Finance approved £7.3K budget based on last years actual figures. </t>
    </r>
    <r>
      <rPr>
        <b/>
        <sz val="12"/>
        <color theme="1"/>
        <rFont val="Arial"/>
        <family val="2"/>
      </rPr>
      <t>Aug 21 increase budget to £10.3K following Play Link booking. Oct 21 increase from £10.3K to £15k.</t>
    </r>
    <r>
      <rPr>
        <sz val="12"/>
        <color theme="1"/>
        <rFont val="Arial"/>
        <family val="2"/>
      </rPr>
      <t xml:space="preserve"> Oct 22 - monitor following car park hire to surgery. </t>
    </r>
    <r>
      <rPr>
        <b/>
        <sz val="12"/>
        <color theme="1"/>
        <rFont val="Arial"/>
        <family val="2"/>
      </rPr>
      <t>Dec 22 - increase budget from £22K to £26.5K re car park rental income</t>
    </r>
    <r>
      <rPr>
        <sz val="12"/>
        <color theme="1"/>
        <rFont val="Arial"/>
        <family val="2"/>
      </rPr>
      <t>.</t>
    </r>
    <r>
      <rPr>
        <sz val="12"/>
        <rFont val="Arial"/>
        <family val="2"/>
      </rPr>
      <t xml:space="preserve">  </t>
    </r>
  </si>
  <si>
    <r>
      <rPr>
        <b/>
        <u/>
        <sz val="11"/>
        <rFont val="Arial"/>
        <family val="2"/>
      </rPr>
      <t>SEE ALSO SPORTS HIRE INCOME 4108</t>
    </r>
    <r>
      <rPr>
        <b/>
        <sz val="11"/>
        <rFont val="Arial"/>
        <family val="2"/>
      </rPr>
      <t>.</t>
    </r>
    <r>
      <rPr>
        <sz val="11"/>
        <rFont val="Arial"/>
        <family val="2"/>
      </rPr>
      <t xml:space="preserve">   20/4/16 Finance approved budget swapped with BC based upon 2015/16/ figures.  2018/19 Retain current £54K budget and increase by 2.5% compared to Sept 2017 CPI @ 3%. April 18 Finance reduced budget to £54,150. Aug 19 Finance approved budget increase to £62K. June Finance 2020 approved 2020.21 Income reduced from £63240 by 40% and then corrected from 2021/22 onwards. April 21 Budget increased to £41K based upon 2020/21 year end figure. </t>
    </r>
    <r>
      <rPr>
        <b/>
        <sz val="11"/>
        <rFont val="Arial"/>
        <family val="2"/>
      </rPr>
      <t>Oct 21 Increase from £41K to £50K</t>
    </r>
    <r>
      <rPr>
        <sz val="11"/>
        <rFont val="Arial"/>
        <family val="2"/>
      </rPr>
      <t xml:space="preserve">. Dec 21 -  Increase to £60K for 2021/22 &amp; £63K for 2022/23. </t>
    </r>
    <r>
      <rPr>
        <b/>
        <sz val="11"/>
        <rFont val="Arial"/>
        <family val="2"/>
      </rPr>
      <t>Oct 22 - approved budget increase from £5K to £5780 following new investment.</t>
    </r>
    <r>
      <rPr>
        <sz val="11"/>
        <rFont val="Arial"/>
        <family val="2"/>
      </rPr>
      <t xml:space="preserve"> Dec 22 - increase budget from £63K to £67.3K re car park rental income.  </t>
    </r>
  </si>
  <si>
    <t>See also N/C 4006</t>
  </si>
  <si>
    <t>See also N/C 4007</t>
  </si>
  <si>
    <t>See also N/C 4008</t>
  </si>
  <si>
    <r>
      <t>See also expenditure N/C 9050 &amp; surplus reserves N/C 3010. Oct 21 increase from £0 to £300. Dec 21 increase to £400.</t>
    </r>
    <r>
      <rPr>
        <b/>
        <sz val="11"/>
        <rFont val="Arial"/>
        <family val="2"/>
      </rPr>
      <t xml:space="preserve"> June 23 - Finance approved increase based on prior performance</t>
    </r>
    <r>
      <rPr>
        <sz val="11"/>
        <rFont val="Arial"/>
        <family val="2"/>
      </rPr>
      <t xml:space="preserve">. </t>
    </r>
    <r>
      <rPr>
        <b/>
        <sz val="11"/>
        <rFont val="Arial"/>
        <family val="2"/>
      </rPr>
      <t>July 23 Finance increase budget to £3K based upon current figures</t>
    </r>
    <r>
      <rPr>
        <sz val="11"/>
        <rFont val="Arial"/>
        <family val="2"/>
      </rPr>
      <t>. Nov 23 Approved increase 24/25 budget from £1K to £2K</t>
    </r>
    <r>
      <rPr>
        <sz val="11"/>
        <color rgb="FFFF0000"/>
        <rFont val="Arial"/>
        <family val="2"/>
      </rPr>
      <t>.</t>
    </r>
    <r>
      <rPr>
        <sz val="11"/>
        <rFont val="Arial"/>
        <family val="2"/>
      </rPr>
      <t xml:space="preserve"> </t>
    </r>
  </si>
  <si>
    <r>
      <t>March 23 agreed move budget from NC 5087 to cover purchase and installation of Xmas lights. Pur = £4157.60 + Prepare lamp posts £2400 + storage £216 p/a (12 x £18)+ erect and take down = £1980 p/a.March 24 Council approved £3808 to instal 4 new sockets for Xmas lights on Webbs Wood roundabout + instal remove 16 Xmas motifs + store 16 Xmas Motifs @ £3808 + 4 new Xmas purchased @  £1201.90 from N/C 3019 - Repay from year 23/24 end surplus.</t>
    </r>
    <r>
      <rPr>
        <sz val="11"/>
        <color theme="1"/>
        <rFont val="Arial"/>
        <family val="2"/>
      </rPr>
      <t xml:space="preserve"> </t>
    </r>
    <r>
      <rPr>
        <sz val="11"/>
        <color rgb="FFFF3737"/>
        <rFont val="Arial"/>
        <family val="2"/>
      </rPr>
      <t>24/25 £2650 budget covered by 23/24 accruals -</t>
    </r>
    <r>
      <rPr>
        <sz val="11"/>
        <color theme="1"/>
        <rFont val="Arial"/>
        <family val="2"/>
      </rPr>
      <t xml:space="preserve"> </t>
    </r>
    <r>
      <rPr>
        <sz val="11"/>
        <color rgb="FFFF3737"/>
        <rFont val="Arial"/>
        <family val="2"/>
      </rPr>
      <t xml:space="preserve">Jan 25 Council approved reducing budget from £2650 to by £2000 for 24/25  and reallocated £2K to N/C 5074 for 25/26. </t>
    </r>
    <r>
      <rPr>
        <b/>
        <sz val="11"/>
        <color rgb="FFFF3737"/>
        <rFont val="Arial"/>
        <family val="2"/>
      </rPr>
      <t>Jan 25 also reallocated £365 to 25/26 onwards to cover Annual light installations @ £2640 + storage @ £288 + 3% for 25/26 = £3015 (increase budget by 3%).</t>
    </r>
  </si>
  <si>
    <r>
      <t xml:space="preserve">Jan 23 agreed replacement CCTV to max £40K at all sites - See N/C 3012 - to be repaid at year end. </t>
    </r>
    <r>
      <rPr>
        <b/>
        <sz val="11"/>
        <color rgb="FFFF3737"/>
        <rFont val="Arial"/>
        <family val="2"/>
      </rPr>
      <t>22/3/23 - Finance approved £32.2K  for replacement CCTV cameras funded from year end surplus</t>
    </r>
    <r>
      <rPr>
        <sz val="11"/>
        <color theme="1"/>
        <rFont val="Arial"/>
        <family val="2"/>
      </rPr>
      <t xml:space="preserve">. </t>
    </r>
    <r>
      <rPr>
        <sz val="11"/>
        <color rgb="FFFF0000"/>
        <rFont val="Arial"/>
        <family val="2"/>
      </rPr>
      <t>20/2/25 £463 tfrd from N/C 9027 to cover BC CCTV camera</t>
    </r>
  </si>
  <si>
    <r>
      <rPr>
        <sz val="11"/>
        <color rgb="FFFF3737"/>
        <rFont val="Arial"/>
        <family val="2"/>
      </rPr>
      <t>AGM Public notice (est)</t>
    </r>
    <r>
      <rPr>
        <b/>
        <sz val="11"/>
        <color rgb="FFFF3737"/>
        <rFont val="Arial"/>
        <family val="2"/>
      </rPr>
      <t xml:space="preserve"> £200</t>
    </r>
    <r>
      <rPr>
        <sz val="11"/>
        <color rgb="FFFF3737"/>
        <rFont val="Arial"/>
        <family val="2"/>
      </rPr>
      <t xml:space="preserve">, possible Staff advert </t>
    </r>
    <r>
      <rPr>
        <b/>
        <sz val="11"/>
        <color rgb="FFFF3737"/>
        <rFont val="Arial"/>
        <family val="2"/>
      </rPr>
      <t>£1000</t>
    </r>
    <r>
      <rPr>
        <sz val="11"/>
        <color theme="1"/>
        <rFont val="Arial"/>
        <family val="2"/>
      </rPr>
      <t xml:space="preserve">,BS Journal - Advertise Council &amp; sites (1 full page) approved Dec 21 @ </t>
    </r>
    <r>
      <rPr>
        <b/>
        <sz val="11"/>
        <color theme="1"/>
        <rFont val="Arial"/>
        <family val="2"/>
      </rPr>
      <t>£1017</t>
    </r>
    <r>
      <rPr>
        <sz val="11"/>
        <color theme="1"/>
        <rFont val="Arial"/>
        <family val="2"/>
      </rPr>
      <t xml:space="preserve"> for 2022/23 (Dec 20 @</t>
    </r>
    <r>
      <rPr>
        <b/>
        <sz val="11"/>
        <color theme="1"/>
        <rFont val="Arial"/>
        <family val="2"/>
      </rPr>
      <t xml:space="preserve"> </t>
    </r>
    <r>
      <rPr>
        <sz val="11"/>
        <color theme="1"/>
        <rFont val="Arial"/>
        <family val="2"/>
      </rPr>
      <t xml:space="preserve">£763) + Matters Magazine </t>
    </r>
    <r>
      <rPr>
        <b/>
        <sz val="11"/>
        <color theme="1"/>
        <rFont val="Arial"/>
        <family val="2"/>
      </rPr>
      <t xml:space="preserve">£442.50 </t>
    </r>
    <r>
      <rPr>
        <sz val="11"/>
        <color theme="1"/>
        <rFont val="Arial"/>
        <family val="2"/>
      </rPr>
      <t>for 2022/23  + Business plan update est</t>
    </r>
    <r>
      <rPr>
        <b/>
        <sz val="11"/>
        <color theme="1"/>
        <rFont val="Arial"/>
        <family val="2"/>
      </rPr>
      <t xml:space="preserve"> £300</t>
    </r>
    <r>
      <rPr>
        <sz val="11"/>
        <color theme="1"/>
        <rFont val="Arial"/>
        <family val="2"/>
      </rPr>
      <t xml:space="preserve"> + firework flyers est </t>
    </r>
    <r>
      <rPr>
        <b/>
        <sz val="11"/>
        <color theme="1"/>
        <rFont val="Arial"/>
        <family val="2"/>
      </rPr>
      <t>£300</t>
    </r>
    <r>
      <rPr>
        <sz val="11"/>
        <color theme="1"/>
        <rFont val="Arial"/>
        <family val="2"/>
      </rPr>
      <t xml:space="preserve"> + 4500 festival flyers </t>
    </r>
    <r>
      <rPr>
        <b/>
        <sz val="11"/>
        <color theme="1"/>
        <rFont val="Arial"/>
        <family val="2"/>
      </rPr>
      <t xml:space="preserve">£300 </t>
    </r>
    <r>
      <rPr>
        <sz val="11"/>
        <color theme="1"/>
        <rFont val="Arial"/>
        <family val="2"/>
      </rPr>
      <t xml:space="preserve">+ tennis banners </t>
    </r>
    <r>
      <rPr>
        <b/>
        <sz val="11"/>
        <color theme="1"/>
        <rFont val="Arial"/>
        <family val="2"/>
      </rPr>
      <t>£150</t>
    </r>
    <r>
      <rPr>
        <sz val="11"/>
        <color theme="1"/>
        <rFont val="Arial"/>
        <family val="2"/>
      </rPr>
      <t xml:space="preserve">  + other items inc photos + other est </t>
    </r>
    <r>
      <rPr>
        <b/>
        <sz val="11"/>
        <color theme="1"/>
        <rFont val="Arial"/>
        <family val="2"/>
      </rPr>
      <t xml:space="preserve">£150 = </t>
    </r>
    <r>
      <rPr>
        <sz val="11"/>
        <color theme="1"/>
        <rFont val="Arial"/>
        <family val="2"/>
      </rPr>
      <t xml:space="preserve">. Budget updated June 2020 to £2850. Oct 20 budget reduce to £2420 for 2020/21 as Firework and Festival flyers cancelled for 2020. Jan 22 - Budget increased from £3245 to £3860 to cover increased advertising costs agreed in Dec 21. </t>
    </r>
    <r>
      <rPr>
        <sz val="11"/>
        <color rgb="FFFF0000"/>
        <rFont val="Arial"/>
        <family val="2"/>
      </rPr>
      <t>Jan 24 Council approved BS matters annual advertising for 2024/25 @ £800</t>
    </r>
    <r>
      <rPr>
        <sz val="11"/>
        <color theme="1"/>
        <rFont val="Arial"/>
        <family val="2"/>
      </rPr>
      <t xml:space="preserve">. </t>
    </r>
    <r>
      <rPr>
        <b/>
        <sz val="11"/>
        <color theme="1"/>
        <rFont val="Arial"/>
        <family val="2"/>
      </rPr>
      <t>Feb 25 - Sharon approved BS matters annual advertising for 2025/26 @ £800</t>
    </r>
  </si>
  <si>
    <r>
      <rPr>
        <sz val="11"/>
        <color theme="1"/>
        <rFont val="Arial"/>
        <family val="2"/>
      </rPr>
      <t>Nominal budget.  June 2020 Finance Reduced from £2k to £1.5K. Aug 22 - approved max £13.5K for JC hardcourt shelter/awning from NC3012. Aug 22 approved purchase and install 2nd flagpole to max £1K. Sept 22 Council approved max budget of £13..5K for LY&amp;A to agree. 17/10/22 LY&amp;A agreed 2 awnings @ £5,684.99 from N/C 3012 - Increased to £7.5K approved by emails Nov 22 (budget £7.5K from N/C 3012 + £1.5K = £9K).</t>
    </r>
    <r>
      <rPr>
        <b/>
        <sz val="11"/>
        <color theme="1"/>
        <rFont val="Arial"/>
        <family val="2"/>
      </rPr>
      <t xml:space="preserve"> Year end reduce 23/24 from £9K to £1.5K as awnings covered by 22/23 budget - Agreed June 23 Finance</t>
    </r>
    <r>
      <rPr>
        <sz val="11"/>
        <color theme="1"/>
        <rFont val="Arial"/>
        <family val="2"/>
      </rPr>
      <t>.</t>
    </r>
    <r>
      <rPr>
        <b/>
        <sz val="11"/>
        <color rgb="FFFF0000"/>
        <rFont val="Arial"/>
        <family val="2"/>
      </rPr>
      <t xml:space="preserve"> July Finance 24 - £1735 new goal posts from NC 9030 + 9025</t>
    </r>
    <r>
      <rPr>
        <sz val="11"/>
        <rFont val="Arial"/>
        <family val="2"/>
      </rPr>
      <t xml:space="preserve">. </t>
    </r>
    <r>
      <rPr>
        <u/>
        <sz val="11"/>
        <color rgb="FFFF0000"/>
        <rFont val="Arial"/>
        <family val="2"/>
      </rPr>
      <t>March 25 £100 tfrd from N/C 9031 + £861 from N/C 9032 to cover new tables at JC</t>
    </r>
  </si>
  <si>
    <r>
      <t xml:space="preserve">Nominal budget . </t>
    </r>
    <r>
      <rPr>
        <b/>
        <sz val="11"/>
        <color rgb="FFFF0000"/>
        <rFont val="Arial"/>
        <family val="2"/>
      </rPr>
      <t>March 25 -£1000 tfrd to N/C 9025 -re JC tables</t>
    </r>
  </si>
  <si>
    <r>
      <t xml:space="preserve">Nominal Budget.  June 2020 Finance Reduced from £2k to £1.5K. </t>
    </r>
    <r>
      <rPr>
        <sz val="11"/>
        <color rgb="FFFF0000"/>
        <rFont val="Arial"/>
        <family val="2"/>
      </rPr>
      <t>20/2/25 £463 tfrd to N/C 9044 to cover BC CCTV camera</t>
    </r>
    <r>
      <rPr>
        <sz val="11"/>
        <rFont val="Arial"/>
        <family val="2"/>
      </rPr>
      <t xml:space="preserve">. </t>
    </r>
    <r>
      <rPr>
        <b/>
        <sz val="11"/>
        <color rgb="FFFF0000"/>
        <rFont val="Arial"/>
        <family val="2"/>
      </rPr>
      <t>March 25 -£861 tfrd to N/C 9025 -re JC tables</t>
    </r>
  </si>
  <si>
    <r>
      <t xml:space="preserve">See N/C 3017 - Funds transferred from reserves as &amp; when required. £1000 approved by Oct 15 LY&amp;A from N/C 3017. Aug 17 LY&amp;A approved £1K tfr from NC 3017. £1K approved by Aug 2020 LY&amp;A from N/C 3017. Aug 21  LY&amp;A approved £500 from NC 3017. </t>
    </r>
    <r>
      <rPr>
        <b/>
        <sz val="11"/>
        <rFont val="Arial"/>
        <family val="2"/>
      </rPr>
      <t>Dec 23 - £500 moved from N/C 3017 Approved June LY&amp;A.</t>
    </r>
    <r>
      <rPr>
        <b/>
        <sz val="11"/>
        <color rgb="FFFF0000"/>
        <rFont val="Arial"/>
        <family val="2"/>
      </rPr>
      <t xml:space="preserve"> June 24 LY&amp;A increased budget by £500 from N/C 5077 . March LY&amp;A -  approved £500 from N/C 3017</t>
    </r>
  </si>
  <si>
    <r>
      <t>Dec 2015 - 2015/16 £2.5K MOVED FROM N/C 7041 TO INSTALL NEW SHIPPING CONTAINER WORKSHOP. 21/7/16 - council approved £2K for radio storage shipping container + additionals taken from N/C7041. £50K for carpark + courts development approved 21/7/16 - see N/C 3014 - 23/1/17 £1463.48 tfrd to N/C 9036 to cover expenditure to date. £19 tfrd from N/C 3081 24/4/17. Oct 19 Finance approved payment £7500 + vat  on 22 + 29/10 + £22,650 + vat on 12/11/19 = £37650 moved to N/C 9036.  Sept 2020 approved quotes for storage building est £80 - £100K. Nov 20 approved £100K for storage development from NC 3014 to be covered by Year end surplus or PWLB loan in 2021/22.Nov 20 approved BW development from NC 3012. April 21 Finance approved £100K for building extension with storage from year end surplus for 2020/21 + 2021/22. Aug 21 Council agreed CIL money (NC 4003) to be applied against BW project - See NC 3014. Sept 22 £1588.83 tfrd from NC  3014 re planning fees. May 22 authorised LY&amp;A to authorise Head Roberts for drawings. June 22  LY&amp;A approved £750 for drawings. Nov 22 - £2275 tfrd from NC 3014 re planning fees. Feb 23 - HLN - Structural engineer approved @ £2995 from N/c 3014.</t>
    </r>
    <r>
      <rPr>
        <b/>
        <sz val="11"/>
        <rFont val="Arial"/>
        <family val="2"/>
      </rPr>
      <t xml:space="preserve"> April 23 adj linked to actual expenditures from NC 3014 in 2022/23 - Approved June 23. July 23 council approved Building control regs to Cooke Brown up to £1,720 from  N/C 3014</t>
    </r>
    <r>
      <rPr>
        <sz val="11"/>
        <rFont val="Arial"/>
        <family val="2"/>
      </rPr>
      <t xml:space="preserve">. </t>
    </r>
    <r>
      <rPr>
        <b/>
        <u/>
        <sz val="11"/>
        <rFont val="Arial"/>
        <family val="2"/>
      </rPr>
      <t xml:space="preserve">Aug 23 - £750 Head Roberts drawings+ £90 diconnect power supplies £90 = £840  tfrd from N/C 3014 approved LY&amp;A June 22. </t>
    </r>
    <r>
      <rPr>
        <b/>
        <sz val="11"/>
        <color rgb="FFFF0000"/>
        <rFont val="Arial"/>
        <family val="2"/>
      </rPr>
      <t xml:space="preserve">Sept 23 Council; approved reduced budget to £30K - see N/C 3014. </t>
    </r>
    <r>
      <rPr>
        <u/>
        <sz val="11"/>
        <color rgb="FFFF0000"/>
        <rFont val="Arial"/>
        <family val="2"/>
      </rPr>
      <t>Aug 24</t>
    </r>
    <r>
      <rPr>
        <u/>
        <sz val="11"/>
        <rFont val="Arial"/>
        <family val="2"/>
      </rPr>
      <t xml:space="preserve"> </t>
    </r>
    <r>
      <rPr>
        <u/>
        <sz val="11"/>
        <color rgb="FFFF0000"/>
        <rFont val="Arial"/>
        <family val="2"/>
      </rPr>
      <t>£615.66 tfrd from N/C  3014 re planning/engineer costs</t>
    </r>
    <r>
      <rPr>
        <sz val="11"/>
        <rFont val="Arial"/>
        <family val="2"/>
      </rPr>
      <t xml:space="preserve">. </t>
    </r>
    <r>
      <rPr>
        <b/>
        <sz val="11"/>
        <color rgb="FFFF0000"/>
        <rFont val="Arial"/>
        <family val="2"/>
      </rPr>
      <t>Nov 24 Finance approved £1418 to move BW fence from N/C 3014</t>
    </r>
    <r>
      <rPr>
        <sz val="11"/>
        <rFont val="Arial"/>
        <family val="2"/>
      </rPr>
      <t>-</t>
    </r>
    <r>
      <rPr>
        <b/>
        <sz val="11"/>
        <color rgb="FFFF0000"/>
        <rFont val="Arial"/>
        <family val="2"/>
      </rPr>
      <t xml:space="preserve">March 25 - £1470.50 tfrd to N/C 9036    </t>
    </r>
  </si>
  <si>
    <r>
      <rPr>
        <sz val="11"/>
        <rFont val="Arial"/>
        <family val="2"/>
      </rPr>
      <t>N/C 3085 moved from BW hardcourts but £25K ring-fenced for possible BW development agreed Jan 2014. April 2014 agreed additional £25K for possible development re public consultation. 21/7/16 council approved extending car park and grassing over hard court + picnic/recreational area development  see N/C 9036. Jan 2016 - £1463.48 tfrd to N/C 9036. April 2017 Finance approved applying 2016/17 CIL funding to BW development from N/C 4003. 24/4/17 £19 trfrd to N/C 9036. 18/9/19 - Council approved £37,650 SJP Paving contract + £500 arboreal work + £470 moved to NC 5037 + £3000 moved to N/C 5038 for website+ balance £6122 moved to N/C 3089 Unallocated reserve. Reduced to nil at 2019/20 year end. Sept 2020 approved quotes for storage building est £80 - £100K. Nov 20 approved BW development from NC 3012. April 21 Finance approved £100K for building extension with storage from year end surplus for 2020/21 + 2021/22. Aug 21 Council agreed CIL money (NC 4003) to be applied against BW project - See NC 9036. Sept 22 £1588.83 tfrd to NC  9036 re planning fees. Nov 22 - £2275 tfrd to NC 9036 re planning fees. Feb 23 - HLN - Structural engineer approved @ £2995 to n/c 9036. April 23 adj linked to actual expenditures inNC 9036 in 2022/23 - Approved June 23. July 23 council approved Building control regs to Cooke Brown up to £1,720 to N/C 9036.</t>
    </r>
    <r>
      <rPr>
        <u/>
        <sz val="11"/>
        <rFont val="Arial"/>
        <family val="2"/>
      </rPr>
      <t xml:space="preserve"> Aug 23 - £750 Head Roberts drawings + £90 disconnect power = £840 tfrd to N/C 9036.  approved LY&amp;A June 22- reduced from £93,351.17 to £92,511.17.</t>
    </r>
    <r>
      <rPr>
        <b/>
        <sz val="11"/>
        <rFont val="Arial"/>
        <family val="2"/>
      </rPr>
      <t xml:space="preserve">  </t>
    </r>
    <r>
      <rPr>
        <b/>
        <sz val="11"/>
        <color rgb="FFFF0000"/>
        <rFont val="Arial"/>
        <family val="2"/>
      </rPr>
      <t>Aug 23 Council approved reducing budget to cover 2 shipping containers @ max £30K</t>
    </r>
    <r>
      <rPr>
        <b/>
        <sz val="11"/>
        <color theme="1"/>
        <rFont val="Arial"/>
        <family val="2"/>
      </rPr>
      <t xml:space="preserve">. </t>
    </r>
    <r>
      <rPr>
        <b/>
        <sz val="11"/>
        <color rgb="FFFF0000"/>
        <rFont val="Arial"/>
        <family val="2"/>
      </rPr>
      <t>Sept 23 Finance - move surplus budget (£62104.18 to Gym Equipment N/C 3070)</t>
    </r>
    <r>
      <rPr>
        <sz val="11"/>
        <color theme="1"/>
        <rFont val="Arial"/>
        <family val="2"/>
      </rPr>
      <t xml:space="preserve">. </t>
    </r>
    <r>
      <rPr>
        <u/>
        <sz val="11"/>
        <color rgb="FFFF0000"/>
        <rFont val="Arial"/>
        <family val="2"/>
      </rPr>
      <t>Aug 24 £615.66 tfrd to N/C 9036 re Planning/engineer costs</t>
    </r>
    <r>
      <rPr>
        <sz val="11"/>
        <color theme="1"/>
        <rFont val="Arial"/>
        <family val="2"/>
      </rPr>
      <t>. N</t>
    </r>
    <r>
      <rPr>
        <b/>
        <sz val="11"/>
        <color rgb="FFFF0000"/>
        <rFont val="Arial"/>
        <family val="2"/>
      </rPr>
      <t>ov 24 Finance approved £1418 to move BW fence to N/C 9036 + BW Paving repair after tree removeal - £1226 to N/C 7046</t>
    </r>
    <r>
      <rPr>
        <sz val="11"/>
        <color theme="1"/>
        <rFont val="Arial"/>
        <family val="2"/>
      </rPr>
      <t xml:space="preserve">. </t>
    </r>
    <r>
      <rPr>
        <sz val="11"/>
        <color rgb="FFFF0000"/>
        <rFont val="Arial"/>
        <family val="2"/>
      </rPr>
      <t xml:space="preserve">March 25 - £1470.50 tfrd to N/C 9036    </t>
    </r>
  </si>
  <si>
    <r>
      <rPr>
        <sz val="11"/>
        <rFont val="Arial"/>
        <family val="2"/>
      </rPr>
      <t>Reducing budget to N/C 9048. £1000 Funds tfrd to BS in Bloom in Oct 15. Aug 17 £1K tfrd to N/C 5092. June 19 LYA - £1K trfrd to N/C 5092. Aug 2020 approved £1K to NC 5092. Aug 21  LY&amp;A approved £500 to NC 5092.</t>
    </r>
    <r>
      <rPr>
        <sz val="11"/>
        <color theme="1"/>
        <rFont val="Arial"/>
        <family val="2"/>
      </rPr>
      <t xml:space="preserve"> </t>
    </r>
    <r>
      <rPr>
        <b/>
        <sz val="11"/>
        <color rgb="FFFF0000"/>
        <rFont val="Arial"/>
        <family val="2"/>
      </rPr>
      <t xml:space="preserve">Dec 23 - £500 moved from N/C 3017 Approved June LY&amp;A. March 25 LY&amp;A approved £500 to NC 5092 </t>
    </r>
  </si>
  <si>
    <t>Bookings Software</t>
  </si>
  <si>
    <r>
      <t xml:space="preserve">2020/21 rates = £13098.75. June Finance 2020 approved Budget reduction from £13367 to £13100 - Based on actuals. </t>
    </r>
    <r>
      <rPr>
        <b/>
        <sz val="11"/>
        <rFont val="Arial"/>
        <family val="2"/>
      </rPr>
      <t>Marc</t>
    </r>
    <r>
      <rPr>
        <b/>
        <sz val="11"/>
        <color theme="1"/>
        <rFont val="Arial"/>
        <family val="2"/>
      </rPr>
      <t>h 21  actual of £13,098.75 frozen for 22/23.</t>
    </r>
    <r>
      <rPr>
        <b/>
        <sz val="11"/>
        <color rgb="FFFF0000"/>
        <rFont val="Arial"/>
        <family val="2"/>
      </rPr>
      <t xml:space="preserve"> April 23 - actual = £15,053.56</t>
    </r>
    <r>
      <rPr>
        <sz val="11"/>
        <rFont val="Arial"/>
        <family val="2"/>
      </rPr>
      <t>.</t>
    </r>
    <r>
      <rPr>
        <b/>
        <sz val="11"/>
        <color rgb="FFFF0000"/>
        <rFont val="Arial"/>
        <family val="2"/>
      </rPr>
      <t xml:space="preserve"> 24/25 + 25/26 actual = £15719</t>
    </r>
  </si>
  <si>
    <r>
      <t xml:space="preserve">2020/21 rates = £9730.  June 2020 Finance Budget reduction from £9930 to £9730 - Based on actuals. March 21 actual = £9730.50 frozen for 22/23. </t>
    </r>
    <r>
      <rPr>
        <b/>
        <sz val="11"/>
        <rFont val="Arial"/>
        <family val="2"/>
      </rPr>
      <t>1/4/23 - Actual = £8857.25</t>
    </r>
    <r>
      <rPr>
        <sz val="11"/>
        <rFont val="Arial"/>
        <family val="2"/>
      </rPr>
      <t>-</t>
    </r>
    <r>
      <rPr>
        <b/>
        <sz val="11"/>
        <color rgb="FFFF0000"/>
        <rFont val="Arial"/>
        <family val="2"/>
      </rPr>
      <t xml:space="preserve"> 24/25 + 25/26 actual = £8858</t>
    </r>
  </si>
  <si>
    <r>
      <t xml:space="preserve">2020/21 rates = £4640.  June 2020 Finance Budget reduction from £4735 to £4640 - Based on actuals. Dec 20 - Rateable Value reduced due to tennis court removal. March 21 actual = £4341.30 frozen for 22/23. </t>
    </r>
    <r>
      <rPr>
        <b/>
        <sz val="11"/>
        <rFont val="Arial"/>
        <family val="2"/>
      </rPr>
      <t>1/4/23 - Actual = £4091.80</t>
    </r>
    <r>
      <rPr>
        <sz val="11"/>
        <rFont val="Arial"/>
        <family val="2"/>
      </rPr>
      <t xml:space="preserve">. </t>
    </r>
    <r>
      <rPr>
        <b/>
        <sz val="11"/>
        <color rgb="FFFF0000"/>
        <rFont val="Arial"/>
        <family val="2"/>
      </rPr>
      <t xml:space="preserve">24/25 + 25/26 - Actual = £4091.80. </t>
    </r>
  </si>
  <si>
    <r>
      <t xml:space="preserve">2020/21 rates = £10229.50.  June 2020 Finance Budget reduction from £10439 to £10230 - Based on actuals. March 21 actual = £10,229.50 frozen for 22/23. </t>
    </r>
    <r>
      <rPr>
        <b/>
        <sz val="11"/>
        <color rgb="FFFF3737"/>
        <rFont val="Arial"/>
        <family val="2"/>
      </rPr>
      <t>1/4/23 Actual = £9356.25. 24/25 + 25/26+ Actual = £9356.25</t>
    </r>
  </si>
  <si>
    <r>
      <t xml:space="preserve">Sept 2014  - Council agreed maintaining £3.5 K budget for future years but reduce to £2.5K for 2021/22 onwards as reserves holds £18K. Nov 20 agreed £1K reduction based upon current figures as only £570 spent at this point - Budget moved to find NC 9015. </t>
    </r>
    <r>
      <rPr>
        <b/>
        <sz val="11"/>
        <rFont val="Arial"/>
        <family val="2"/>
      </rPr>
      <t xml:space="preserve"> Dec 21  increase to £3K to cover rainbow and war memorial seating est (£1340 + £1101) tfrd from NC 3019</t>
    </r>
    <r>
      <rPr>
        <sz val="11"/>
        <rFont val="Arial"/>
        <family val="2"/>
      </rPr>
      <t xml:space="preserve">. </t>
    </r>
    <r>
      <rPr>
        <b/>
        <sz val="11"/>
        <rFont val="Arial"/>
        <family val="2"/>
      </rPr>
      <t>Aug 22 Finance - Approved 10 litter bins @ £350 per bin = £3,500 from NC 3019.</t>
    </r>
    <r>
      <rPr>
        <sz val="11"/>
        <rFont val="Arial"/>
        <family val="2"/>
      </rPr>
      <t xml:space="preserve"> </t>
    </r>
    <r>
      <rPr>
        <b/>
        <sz val="11"/>
        <color theme="1"/>
        <rFont val="Arial"/>
        <family val="2"/>
      </rPr>
      <t>Oct 23 Council approved £5150 for secure cycle containers at JC with £1K funding from travel Grant (N/C 4002/3019)</t>
    </r>
    <r>
      <rPr>
        <sz val="11"/>
        <color theme="1"/>
        <rFont val="Arial"/>
        <family val="2"/>
      </rPr>
      <t xml:space="preserve">. Dec 23 £3.3K tfrd from NC3012 for bike shelters. </t>
    </r>
    <r>
      <rPr>
        <b/>
        <sz val="11"/>
        <color rgb="FFFF0000"/>
        <rFont val="Arial"/>
        <family val="2"/>
      </rPr>
      <t>Nov 24 Council approved 2 street benches @ £1827.30. Nov 24 Council approved  3 street planters @ £1650 + 2 Street Litter bins @ £334 funded from N/C 3019</t>
    </r>
    <r>
      <rPr>
        <sz val="11"/>
        <rFont val="Arial"/>
        <family val="2"/>
      </rPr>
      <t xml:space="preserve">. </t>
    </r>
    <r>
      <rPr>
        <u/>
        <sz val="11"/>
        <color rgb="FFFF0000"/>
        <rFont val="Arial"/>
        <family val="2"/>
      </rPr>
      <t>Jan 25 - £500 MAF Funding - Ben Randles + £1K donation from Stoke Lodge &amp; the Common PC = £1500 for WW1 Bench on Manor Farm - see N/C 4003.</t>
    </r>
    <r>
      <rPr>
        <b/>
        <u/>
        <sz val="11"/>
        <color rgb="FFFF0000"/>
        <rFont val="Arial"/>
        <family val="2"/>
      </rPr>
      <t xml:space="preserve"> </t>
    </r>
    <r>
      <rPr>
        <b/>
        <sz val="11"/>
        <color rgb="FFFF0000"/>
        <rFont val="Arial"/>
        <family val="2"/>
      </rPr>
      <t>March 25 - Finance approveds 25 litter bins to replace dog bins @ £158.95 = £6,500. Tfrd  from N/C 3019</t>
    </r>
  </si>
  <si>
    <r>
      <t>Sept 2015 council approved establishing a street furniture reserve to build up especially for bus shelter replacements etc.- see also N/C 9021 + 9022. 31/3/17 £2000 tfrd. April 18 Finance approved £14K reserve at 17/18 year end. Sept 18 Council approved replacing 5 noticeboards within the town and 1 new one at skatepark + 1 at Willowbrook up to</t>
    </r>
    <r>
      <rPr>
        <b/>
        <sz val="11"/>
        <color theme="1"/>
        <rFont val="Arial"/>
        <family val="2"/>
      </rPr>
      <t xml:space="preserve"> £15.5K to N/C 9043. </t>
    </r>
    <r>
      <rPr>
        <sz val="11"/>
        <color theme="1"/>
        <rFont val="Arial"/>
        <family val="2"/>
      </rPr>
      <t xml:space="preserve">Increase budget 2018/19 by £1.5K from forward Reserve N/C 3089 to be repaid at year end. </t>
    </r>
    <r>
      <rPr>
        <b/>
        <u/>
        <sz val="11"/>
        <color theme="1"/>
        <rFont val="Arial"/>
        <family val="2"/>
      </rPr>
      <t>31/3/19 £13526.72 tfrd to NC 9043</t>
    </r>
    <r>
      <rPr>
        <sz val="11"/>
        <color theme="1"/>
        <rFont val="Arial"/>
        <family val="2"/>
      </rPr>
      <t xml:space="preserve">. Apr il 19 Finance approved moving 2019/20 budget into 2018/19 at year end - reimbursing cost of noticeboards. June 2020 finance agreed - Reduced from £20K to £18K to allow for bus shelters . Bins are held within NC 9022 with £3.5K annual budget. </t>
    </r>
    <r>
      <rPr>
        <b/>
        <sz val="11"/>
        <color theme="1"/>
        <rFont val="Arial"/>
        <family val="2"/>
      </rPr>
      <t>July 2020 Council approved £2100 for Webbs Wood Rd bus shelter N/C 3019/9021</t>
    </r>
    <r>
      <rPr>
        <sz val="11"/>
        <color theme="1"/>
        <rFont val="Arial"/>
        <family val="2"/>
      </rPr>
      <t xml:space="preserve">. Sept 20 approved delay in bus shelter replacement. Dec 21 move £500 to NC 9022 to cover 2 benches. </t>
    </r>
    <r>
      <rPr>
        <b/>
        <sz val="11"/>
        <color theme="1"/>
        <rFont val="Arial"/>
        <family val="2"/>
      </rPr>
      <t>Aug 22 Finance - Approved 10 litter bins @ £350 per bin = £3,500 to NC 9022.</t>
    </r>
    <r>
      <rPr>
        <sz val="11"/>
        <color theme="1"/>
        <rFont val="Arial"/>
        <family val="2"/>
      </rPr>
      <t xml:space="preserve"> </t>
    </r>
    <r>
      <rPr>
        <b/>
        <sz val="11"/>
        <color theme="1"/>
        <rFont val="Arial"/>
        <family val="2"/>
      </rPr>
      <t>Dec 22 - £3053.70 tfrd to Nc 9022 re 10 bins</t>
    </r>
    <r>
      <rPr>
        <sz val="11"/>
        <color theme="1"/>
        <rFont val="Arial"/>
        <family val="2"/>
      </rPr>
      <t xml:space="preserve">. June 23 Finance approved restoring budget to £18K. </t>
    </r>
    <r>
      <rPr>
        <b/>
        <sz val="11"/>
        <color theme="1"/>
        <rFont val="Arial"/>
        <family val="2"/>
      </rPr>
      <t>Oct 23 Council approved £5150 for secure cycle containers at JC with £1K funding from travel Grant (N/C 4002/9022)</t>
    </r>
    <r>
      <rPr>
        <sz val="11"/>
        <color theme="1"/>
        <rFont val="Arial"/>
        <family val="2"/>
      </rPr>
      <t xml:space="preserve">. Dec 23 £3.3K tfrd to NC 9022 for bike shelters. </t>
    </r>
    <r>
      <rPr>
        <b/>
        <u/>
        <sz val="11"/>
        <color theme="1"/>
        <rFont val="Arial"/>
        <family val="2"/>
      </rPr>
      <t>March 24 Council approved £3808 to instal 4 new sockets for Xmas lights on Webbs Wood roundabout + instal remove 16 Xmas motifs + store 16 Xmas Motifs @ £3808 + 4 new Xmas purchased @  £1201.90 to N/C 9023 - Repay from 23/24 year end surplus</t>
    </r>
    <r>
      <rPr>
        <sz val="11"/>
        <color theme="1"/>
        <rFont val="Arial"/>
        <family val="2"/>
      </rPr>
      <t xml:space="preserve">. </t>
    </r>
    <r>
      <rPr>
        <b/>
        <sz val="11"/>
        <color rgb="FFFF0000"/>
        <rFont val="Arial"/>
        <family val="2"/>
      </rPr>
      <t>Nov 24 Council approved  3 street planters @ £1650 funded to N/C 9022</t>
    </r>
    <r>
      <rPr>
        <sz val="11"/>
        <color theme="1"/>
        <rFont val="Arial"/>
        <family val="2"/>
      </rPr>
      <t xml:space="preserve"> </t>
    </r>
    <r>
      <rPr>
        <b/>
        <sz val="11"/>
        <color rgb="FFFF0000"/>
        <rFont val="Arial"/>
        <family val="2"/>
      </rPr>
      <t>+ 2 Street 100 ltr bins @ £3334 to N/C 9022</t>
    </r>
    <r>
      <rPr>
        <sz val="11"/>
        <color theme="1"/>
        <rFont val="Arial"/>
        <family val="2"/>
      </rPr>
      <t xml:space="preserve">. </t>
    </r>
    <r>
      <rPr>
        <sz val="11"/>
        <color rgb="FFFF0000"/>
        <rFont val="Arial"/>
        <family val="2"/>
      </rPr>
      <t>March 25 £6.5K tfrd to N/C 9022 re bins and planters</t>
    </r>
  </si>
  <si>
    <r>
      <t xml:space="preserve">September 19 Council approved Strategic Planning expenditure breakdowns for 2020/21      </t>
    </r>
    <r>
      <rPr>
        <b/>
        <sz val="12"/>
        <rFont val="Arial"/>
        <family val="2"/>
      </rPr>
      <t xml:space="preserve"> Community Festival Youth  Activities - £5000      </t>
    </r>
    <r>
      <rPr>
        <sz val="12"/>
        <rFont val="Arial"/>
        <family val="2"/>
      </rPr>
      <t xml:space="preserve">                                                                                                   </t>
    </r>
    <r>
      <rPr>
        <b/>
        <sz val="12"/>
        <rFont val="Arial"/>
        <family val="2"/>
      </rPr>
      <t xml:space="preserve">Project work, events, sessional resources and residential - £11,750 </t>
    </r>
    <r>
      <rPr>
        <sz val="12"/>
        <rFont val="Arial"/>
        <family val="2"/>
      </rPr>
      <t xml:space="preserve">                                                             Oct 2023 Finance approved                                                                                                                                                          </t>
    </r>
    <r>
      <rPr>
        <b/>
        <sz val="12"/>
        <rFont val="Arial"/>
        <family val="2"/>
      </rPr>
      <t>£1100 p/a for Upshot youth system + upfront £1190 setting up consultation</t>
    </r>
    <r>
      <rPr>
        <sz val="12"/>
        <rFont val="Arial"/>
        <family val="2"/>
      </rPr>
      <t xml:space="preserve">                                                                     31/3/24 - £229 transfered to budget form N/C 4012 + May 24 council approved ring fencing any 23/24 unspent youth budget at year end - £23,745.25 added to reserve N/C 3079 as per year end position itemised in audit file. 31.3.24 £3391.21 23/24 expenditure tfrd to N/C 5060 re payroll - year end adj.  </t>
    </r>
  </si>
  <si>
    <r>
      <t xml:space="preserve">July 24 Finance -Updated youth salary projected target figures for 2024/25 to be funded from core budget and SGC grant (N/C 5512) = £36,951 + pay award + supplies = £4800 p/a (will exclude the Youth Particpation and Development Officer's salary equivalent for NJC which is processed through normal Payroll under NC 5060 but JNC uplift will be funded from youth core budget. </t>
    </r>
    <r>
      <rPr>
        <sz val="12"/>
        <color rgb="FFFF0000"/>
        <rFont val="Arial"/>
        <family val="2"/>
      </rPr>
      <t>20/2/25 - £284 tfrd to N/C 9019 to cover various sports equipment.</t>
    </r>
    <r>
      <rPr>
        <b/>
        <sz val="12"/>
        <color rgb="FFFF0000"/>
        <rFont val="Arial"/>
        <family val="2"/>
      </rPr>
      <t xml:space="preserve"> March 25 Finance approved £2721 to improve slabs in JC compound for youth sessions  </t>
    </r>
  </si>
  <si>
    <r>
      <t xml:space="preserve">Sth Glos Playscheme (formerly 4 Towns Play Association) (£5500 paid 15/16- 17/18 &amp; £5000 paid 18/19 - 19/20 &amp; £4500 paid 20/21 </t>
    </r>
    <r>
      <rPr>
        <sz val="11"/>
        <color rgb="FFFF0000"/>
        <rFont val="Arial"/>
        <family val="2"/>
      </rPr>
      <t>&amp; £4000 2022/23)</t>
    </r>
    <r>
      <rPr>
        <sz val="11"/>
        <rFont val="Arial"/>
        <family val="2"/>
      </rPr>
      <t>.April25 LY&amp;A increased grant to Turtle CYP from £5K to £5250 - fromng £250 from N/C 5076</t>
    </r>
  </si>
  <si>
    <r>
      <t xml:space="preserve">Reserve increase £5K p/a to cover future election costs see also N/C 5086 where £5k p/a is held for potential bi-elections. 31/3/17 £8500 tfrd to cover bulk of future election in readiness for any eventualities before May 2019. 2019 Election estimated cost provided by Sth Glos @ £18,810.32. April 19 Finance approved moving 2019/20 budget into 2018/19 at year end- Election Cost for May 19 - £22,605.83 so £23,0000 moved to 5086 Left £5k in so total budget £28k will amend at year end if not need for By election 2020. June 2020 Finance agreed amended budgetbased upon 2019/20 year end figures c/fwd + 2020 uplift. </t>
    </r>
    <r>
      <rPr>
        <b/>
        <sz val="11"/>
        <rFont val="Arial"/>
        <family val="2"/>
      </rPr>
      <t>2022/23 increase reserve from £18K to £20K to ensure £30K held for next elections due in May 2023</t>
    </r>
    <r>
      <rPr>
        <sz val="11"/>
        <rFont val="Arial"/>
        <family val="2"/>
      </rPr>
      <t xml:space="preserve">. </t>
    </r>
    <r>
      <rPr>
        <b/>
        <sz val="11"/>
        <rFont val="Arial"/>
        <family val="2"/>
      </rPr>
      <t>March 22 - Year end adjustment re 2022/23 reserves adj from £14K to £20K</t>
    </r>
    <r>
      <rPr>
        <sz val="11"/>
        <rFont val="Arial"/>
        <family val="2"/>
      </rPr>
      <t xml:space="preserve">. </t>
    </r>
    <r>
      <rPr>
        <b/>
        <sz val="11"/>
        <rFont val="Arial"/>
        <family val="2"/>
      </rPr>
      <t>May 22 increase 2021/22 year end reserve to £30K</t>
    </r>
    <r>
      <rPr>
        <sz val="11"/>
        <rFont val="Arial"/>
        <family val="2"/>
      </rPr>
      <t xml:space="preserve">. </t>
    </r>
    <r>
      <rPr>
        <b/>
        <sz val="11"/>
        <color rgb="FFFF0000"/>
        <rFont val="Arial"/>
        <family val="2"/>
      </rPr>
      <t xml:space="preserve">Dec 23 - £24,823.79 tfrd to N/C 5086 for 23 elections +  24/25/ reserve increased to £20K. </t>
    </r>
    <r>
      <rPr>
        <sz val="11"/>
        <color rgb="FFFF0000"/>
        <rFont val="Arial"/>
        <family val="2"/>
      </rPr>
      <t>Nov 24 Council - Willowbrook bi-election costs £9934.07 - £2934.07 tfrd to NC5086</t>
    </r>
    <r>
      <rPr>
        <sz val="11"/>
        <rFont val="Arial"/>
        <family val="2"/>
      </rPr>
      <t>.</t>
    </r>
    <r>
      <rPr>
        <b/>
        <sz val="11"/>
        <color rgb="FFFF0000"/>
        <rFont val="Arial"/>
        <family val="2"/>
      </rPr>
      <t xml:space="preserve"> Actual cost = £6271.06 to N/C 5086 for Primrose Bridge Ward bi-election due 27/3/25 to cover accrual and pay back at year end</t>
    </r>
  </si>
  <si>
    <r>
      <t>Lottery Funding -</t>
    </r>
    <r>
      <rPr>
        <u/>
        <sz val="11"/>
        <rFont val="Arial"/>
        <family val="2"/>
      </rPr>
      <t xml:space="preserve"> £14,500 over 3 years commencing Oct 24 for 2 additional youth sessions pre week</t>
    </r>
    <r>
      <rPr>
        <b/>
        <u/>
        <sz val="11"/>
        <rFont val="Arial"/>
        <family val="2"/>
      </rPr>
      <t xml:space="preserve"> - See also NC 4517. </t>
    </r>
    <r>
      <rPr>
        <b/>
        <sz val="11"/>
        <color rgb="FFFF0000"/>
        <rFont val="Arial"/>
        <family val="2"/>
      </rPr>
      <t>£7337 rolled at 24/25 year end into 25/26 - added to additional 25/26 £7337 grant funding</t>
    </r>
  </si>
  <si>
    <r>
      <rPr>
        <b/>
        <u/>
        <sz val="11"/>
        <rFont val="Arial"/>
        <family val="2"/>
      </rPr>
      <t xml:space="preserve">Street Art - The Big Paint = £960 Max Max paid March 2021 </t>
    </r>
    <r>
      <rPr>
        <sz val="11"/>
        <rFont val="Arial"/>
        <family val="2"/>
      </rPr>
      <t xml:space="preserve"> - Total for salaries £600 fixed &amp; total for activities up to £360- See  N/C 4514.  </t>
    </r>
    <r>
      <rPr>
        <b/>
        <sz val="11"/>
        <rFont val="Arial"/>
        <family val="2"/>
      </rPr>
      <t xml:space="preserve">£960 c/fwd from 2020/21 £960 c/fwd from 2020/21 &amp; </t>
    </r>
    <r>
      <rPr>
        <b/>
        <sz val="11"/>
        <color rgb="FFFF0000"/>
        <rFont val="Arial"/>
        <family val="2"/>
      </rPr>
      <t>£66.53 c/fwd for 2022/23 - 2025/26</t>
    </r>
  </si>
  <si>
    <r>
      <rPr>
        <b/>
        <u/>
        <sz val="11"/>
        <rFont val="Arial"/>
        <family val="2"/>
      </rPr>
      <t>Street Art Taster Sessions = £960 Max paid March 2021</t>
    </r>
    <r>
      <rPr>
        <sz val="11"/>
        <rFont val="Arial"/>
        <family val="2"/>
      </rPr>
      <t xml:space="preserve"> - Total for salaries £600 fixed &amp; total for activities up to £360 - See N/C 4513. </t>
    </r>
    <r>
      <rPr>
        <b/>
        <sz val="11"/>
        <rFont val="Arial"/>
        <family val="2"/>
      </rPr>
      <t>£960 c/fwd from 2020/21</t>
    </r>
    <r>
      <rPr>
        <sz val="11"/>
        <rFont val="Arial"/>
        <family val="2"/>
      </rPr>
      <t xml:space="preserve"> &amp; </t>
    </r>
    <r>
      <rPr>
        <b/>
        <sz val="11"/>
        <color rgb="FFFF0000"/>
        <rFont val="Arial"/>
        <family val="2"/>
      </rPr>
      <t>£172.83 c/fwd for 2022/23- 2025/26</t>
    </r>
  </si>
  <si>
    <r>
      <rPr>
        <sz val="11"/>
        <color theme="1"/>
        <rFont val="Arial"/>
        <family val="2"/>
      </rPr>
      <t xml:space="preserve">Weekly youth sessions for JC courts, girls night and skate park. £30K payable £10K per year for 3 years - See NC 4512. </t>
    </r>
    <r>
      <rPr>
        <b/>
        <sz val="11"/>
        <color theme="1"/>
        <rFont val="Arial"/>
        <family val="2"/>
      </rPr>
      <t>£6882 c/fwd from unspent 2019/20 budget increasing budget for 2020/21 from £10K to £16,882 (£6882 unspent c/fwd + £10K funding due for 2020/21)</t>
    </r>
    <r>
      <rPr>
        <sz val="11"/>
        <color theme="1"/>
        <rFont val="Arial"/>
        <family val="2"/>
      </rPr>
      <t>.</t>
    </r>
    <r>
      <rPr>
        <b/>
        <sz val="11"/>
        <color theme="1"/>
        <rFont val="Arial"/>
        <family val="2"/>
      </rPr>
      <t>£16882 - £4579.64 = £12302.36 c/fwd from 2020/21 + £10K granted in 2021/22 = £22,302</t>
    </r>
    <r>
      <rPr>
        <sz val="11"/>
        <color theme="1"/>
        <rFont val="Arial"/>
        <family val="2"/>
      </rPr>
      <t>.</t>
    </r>
    <r>
      <rPr>
        <u/>
        <sz val="11"/>
        <color theme="1"/>
        <rFont val="Arial"/>
        <family val="2"/>
      </rPr>
      <t xml:space="preserve"> 2 Additional years of funding approved Sept 2021 for 22/23 &amp; 23/24 - See NC 4512. Feb 22 -  An additional one off payment of £800 awarded for 2022/23</t>
    </r>
    <r>
      <rPr>
        <sz val="11"/>
        <color theme="1"/>
        <rFont val="Arial"/>
        <family val="2"/>
      </rPr>
      <t xml:space="preserve">. </t>
    </r>
    <r>
      <rPr>
        <b/>
        <sz val="11"/>
        <color theme="1"/>
        <rFont val="Arial"/>
        <family val="2"/>
      </rPr>
      <t>May 22 - £14,397.50 cfwd from 21/22 added to £10.8K allocated in 22/23 = £25197.50</t>
    </r>
    <r>
      <rPr>
        <sz val="11"/>
        <color theme="1"/>
        <rFont val="Arial"/>
        <family val="2"/>
      </rPr>
      <t xml:space="preserve">. </t>
    </r>
    <r>
      <rPr>
        <b/>
        <sz val="11"/>
        <color theme="1"/>
        <rFont val="Arial"/>
        <family val="2"/>
      </rPr>
      <t>Oct 22 - £300 additional funding awarded see NC 4512</t>
    </r>
    <r>
      <rPr>
        <sz val="11"/>
        <color theme="1"/>
        <rFont val="Arial"/>
        <family val="2"/>
      </rPr>
      <t xml:space="preserve">. </t>
    </r>
    <r>
      <rPr>
        <b/>
        <sz val="11"/>
        <color theme="1"/>
        <rFont val="Arial"/>
        <family val="2"/>
      </rPr>
      <t>April 23 -</t>
    </r>
    <r>
      <rPr>
        <b/>
        <sz val="11"/>
        <color rgb="FFFF0000"/>
        <rFont val="Arial"/>
        <family val="2"/>
      </rPr>
      <t xml:space="preserve"> £15,245.91 c/fwd from 22/23 and added to 23/24 £10K grant = £25,245.91 approved June 23 Finance</t>
    </r>
    <r>
      <rPr>
        <sz val="11"/>
        <rFont val="Arial"/>
        <family val="2"/>
      </rPr>
      <t>.</t>
    </r>
    <r>
      <rPr>
        <b/>
        <sz val="11"/>
        <rFont val="Arial"/>
        <family val="2"/>
      </rPr>
      <t>31.3.24  £4111.75 tfrd to NC5060 re payroll - year end adjustment</t>
    </r>
    <r>
      <rPr>
        <sz val="11"/>
        <rFont val="Arial"/>
        <family val="2"/>
      </rPr>
      <t xml:space="preserve"> </t>
    </r>
    <r>
      <rPr>
        <b/>
        <u/>
        <sz val="11"/>
        <color rgb="FFFF0000"/>
        <rFont val="Arial"/>
        <family val="2"/>
      </rPr>
      <t xml:space="preserve">2024/25 </t>
    </r>
    <r>
      <rPr>
        <sz val="11"/>
        <color rgb="FFFF0000"/>
        <rFont val="Arial"/>
        <family val="2"/>
      </rPr>
      <t>£15,581.11 c/fwd to be added to additional</t>
    </r>
    <r>
      <rPr>
        <b/>
        <u/>
        <sz val="12"/>
        <color rgb="FFFF0000"/>
        <rFont val="Arial"/>
        <family val="2"/>
      </rPr>
      <t xml:space="preserve"> £14K external youth funding secured for 5 years wef 24/25 (see NC 4512). </t>
    </r>
    <r>
      <rPr>
        <b/>
        <u/>
        <sz val="12"/>
        <rFont val="Arial"/>
        <family val="2"/>
      </rPr>
      <t>£23,824.08 rolled at 24/25 year end into 25/26</t>
    </r>
  </si>
  <si>
    <r>
      <t xml:space="preserve">See N/C 4504 for grant payment for hire package of 2 day skate park event at 2014 Community Festival. £2400 granted for 2014/15 + £2400 granted fpr 2015/16 both for the festival. </t>
    </r>
    <r>
      <rPr>
        <b/>
        <sz val="11"/>
        <rFont val="Arial"/>
        <family val="2"/>
      </rPr>
      <t>£2400 rolled into 2016/17 at 15/16 Year end. Balance c/fwd from 2017/18</t>
    </r>
    <r>
      <rPr>
        <sz val="11"/>
        <rFont val="Arial"/>
        <family val="2"/>
      </rPr>
      <t xml:space="preserve">. </t>
    </r>
    <r>
      <rPr>
        <b/>
        <sz val="11"/>
        <color rgb="FFFF3737"/>
        <rFont val="Arial"/>
        <family val="2"/>
      </rPr>
      <t>2021/22 unspent balance c/fwd from 2020/21 &amp; 2021/22</t>
    </r>
    <r>
      <rPr>
        <b/>
        <sz val="11"/>
        <color rgb="FFFF0000"/>
        <rFont val="Arial"/>
        <family val="2"/>
      </rPr>
      <t>= £1076.06</t>
    </r>
    <r>
      <rPr>
        <sz val="11"/>
        <rFont val="Arial"/>
        <family val="2"/>
      </rPr>
      <t xml:space="preserve">. </t>
    </r>
    <r>
      <rPr>
        <b/>
        <sz val="11"/>
        <color rgb="FFFF0000"/>
        <rFont val="Arial"/>
        <family val="2"/>
      </rPr>
      <t>June 23 - £1076.06 Cfwd from 22/23 - 2025/26</t>
    </r>
  </si>
  <si>
    <r>
      <t xml:space="preserve">See N/C 4506 for grant payment £12500 for 4  Active Citizenship training program &amp; residential courses &amp; staffing, training etc - </t>
    </r>
    <r>
      <rPr>
        <b/>
        <sz val="11"/>
        <rFont val="Arial"/>
        <family val="2"/>
      </rPr>
      <t>£12,327.92 rolled into 2016/17 at 15/16 Year end.</t>
    </r>
    <r>
      <rPr>
        <sz val="11"/>
        <rFont val="Arial"/>
        <family val="2"/>
      </rPr>
      <t xml:space="preserve"> This is not time limited -</t>
    </r>
    <r>
      <rPr>
        <b/>
        <sz val="11"/>
        <rFont val="Arial"/>
        <family val="2"/>
      </rPr>
      <t xml:space="preserve"> ROLL AT YEAR END- Approval received from Sth Glos 26.5.16 that this now relates 2016.17. </t>
    </r>
    <r>
      <rPr>
        <b/>
        <sz val="11"/>
        <color rgb="FFFF0000"/>
        <rFont val="Arial"/>
        <family val="2"/>
      </rPr>
      <t>Balance c/fwd from 2017/18 &amp; 2018/19 &amp; 2019/20 &amp; 2020/21 &amp; 2021/22= £10,459</t>
    </r>
    <r>
      <rPr>
        <sz val="11"/>
        <rFont val="Arial"/>
        <family val="2"/>
      </rPr>
      <t xml:space="preserve">. </t>
    </r>
    <r>
      <rPr>
        <b/>
        <sz val="11"/>
        <color rgb="FFFF0000"/>
        <rFont val="Arial"/>
        <family val="2"/>
      </rPr>
      <t>April 23 - £10,459 Cfwd from 22/23 - 2025/26</t>
    </r>
  </si>
  <si>
    <r>
      <rPr>
        <sz val="11"/>
        <rFont val="Arial"/>
        <family val="2"/>
      </rPr>
      <t xml:space="preserve">Nov 19 Council approved new contract @ </t>
    </r>
    <r>
      <rPr>
        <b/>
        <sz val="11"/>
        <rFont val="Arial"/>
        <family val="2"/>
      </rPr>
      <t>£9099.48</t>
    </r>
    <r>
      <rPr>
        <sz val="11"/>
        <rFont val="Arial"/>
        <family val="2"/>
      </rPr>
      <t xml:space="preserve"> for 2 years and then £9599.48 in year 3 - 5/11/19 - 4/11/22 + </t>
    </r>
    <r>
      <rPr>
        <b/>
        <sz val="11"/>
        <rFont val="Arial"/>
        <family val="2"/>
      </rPr>
      <t>£500</t>
    </r>
    <r>
      <rPr>
        <sz val="11"/>
        <rFont val="Arial"/>
        <family val="2"/>
      </rPr>
      <t xml:space="preserve"> additionals. June 20 increased budget to £9600</t>
    </r>
    <r>
      <rPr>
        <sz val="11"/>
        <color rgb="FFFF3737"/>
        <rFont val="Arial"/>
        <family val="2"/>
      </rPr>
      <t xml:space="preserve">. Dec 20 - Council advised year 3 uplift is to be removed and price frozen at </t>
    </r>
    <r>
      <rPr>
        <b/>
        <sz val="11"/>
        <color rgb="FFFF3737"/>
        <rFont val="Arial"/>
        <family val="2"/>
      </rPr>
      <t>£9099.48</t>
    </r>
    <r>
      <rPr>
        <sz val="11"/>
        <color rgb="FFFF3737"/>
        <rFont val="Arial"/>
        <family val="2"/>
      </rPr>
      <t xml:space="preserve"> until November 2022.                                                                                                 </t>
    </r>
    <r>
      <rPr>
        <b/>
        <sz val="11"/>
        <color rgb="FFFF3737"/>
        <rFont val="Arial"/>
        <family val="2"/>
      </rPr>
      <t xml:space="preserve">2022/23 - </t>
    </r>
    <r>
      <rPr>
        <sz val="11"/>
        <color rgb="FFFF3737"/>
        <rFont val="Arial"/>
        <family val="2"/>
      </rPr>
      <t xml:space="preserve">Main contract ends Nov 22 or before- est £9600 + 25% =£12K  + £600 additionals &amp; 3% onwards </t>
    </r>
    <r>
      <rPr>
        <b/>
        <sz val="11"/>
        <rFont val="Arial"/>
        <family val="2"/>
      </rPr>
      <t xml:space="preserve">                                                                                                          </t>
    </r>
    <r>
      <rPr>
        <b/>
        <u/>
        <sz val="11"/>
        <rFont val="Arial"/>
        <family val="2"/>
      </rPr>
      <t>2023/24</t>
    </r>
    <r>
      <rPr>
        <b/>
        <sz val="11"/>
        <rFont val="Arial"/>
        <family val="2"/>
      </rPr>
      <t xml:space="preserve">   </t>
    </r>
    <r>
      <rPr>
        <sz val="11"/>
        <rFont val="Arial"/>
        <family val="2"/>
      </rPr>
      <t>New contract agreed</t>
    </r>
    <r>
      <rPr>
        <sz val="11"/>
        <color rgb="FFFF3737"/>
        <rFont val="Arial"/>
        <family val="2"/>
      </rPr>
      <t xml:space="preserve"> </t>
    </r>
    <r>
      <rPr>
        <sz val="11"/>
        <rFont val="Arial"/>
        <family val="2"/>
      </rPr>
      <t xml:space="preserve">Nov 22 Concord Homecare @ </t>
    </r>
    <r>
      <rPr>
        <b/>
        <sz val="11"/>
        <rFont val="Arial"/>
        <family val="2"/>
      </rPr>
      <t xml:space="preserve">£10,296 </t>
    </r>
    <r>
      <rPr>
        <sz val="11"/>
        <rFont val="Arial"/>
        <family val="2"/>
      </rPr>
      <t xml:space="preserve">p/a for 12 hours p/w fixed for 3 years (1/12/22 - 30/11/25) + window cleaning on 6 week cycles = 9 x £60 = </t>
    </r>
    <r>
      <rPr>
        <b/>
        <sz val="11"/>
        <rFont val="Arial"/>
        <family val="2"/>
      </rPr>
      <t>£540</t>
    </r>
    <r>
      <rPr>
        <sz val="11"/>
        <rFont val="Arial"/>
        <family val="2"/>
      </rPr>
      <t xml:space="preserve"> p/a</t>
    </r>
    <r>
      <rPr>
        <b/>
        <sz val="11"/>
        <rFont val="Arial"/>
        <family val="2"/>
      </rPr>
      <t xml:space="preserve"> </t>
    </r>
    <r>
      <rPr>
        <sz val="11"/>
        <rFont val="Arial"/>
        <family val="2"/>
      </rPr>
      <t xml:space="preserve">+ contingency </t>
    </r>
    <r>
      <rPr>
        <b/>
        <sz val="11"/>
        <rFont val="Arial"/>
        <family val="2"/>
      </rPr>
      <t xml:space="preserve">£500 </t>
    </r>
  </si>
  <si>
    <r>
      <t>Nominal budget. 2018/19 £3.5K moved from N/C 5086 to fund full Windows 10 upgrade approved 21/11/18 .</t>
    </r>
    <r>
      <rPr>
        <sz val="11"/>
        <color rgb="FFFF0000"/>
        <rFont val="Arial"/>
        <family val="2"/>
      </rPr>
      <t>Oct Finance agreed office server mig</t>
    </r>
    <r>
      <rPr>
        <sz val="11"/>
        <color rgb="FFFF3737"/>
        <rFont val="Arial"/>
        <family val="2"/>
      </rPr>
      <t xml:space="preserve">ration @ £3200 + 3 PCs replaced at 3 sites @ £639 from N/C 3089 - £3839 tfrd from N/C 3089. </t>
    </r>
    <r>
      <rPr>
        <b/>
        <sz val="11"/>
        <color rgb="FFFF3737"/>
        <rFont val="Arial"/>
        <family val="2"/>
      </rPr>
      <t>November 20 - Budget increased by £1K to cover current expenditure after purchase home working laptops etc budget moved from NC 9022.</t>
    </r>
    <r>
      <rPr>
        <sz val="11"/>
        <color rgb="FFFF3737"/>
        <rFont val="Arial"/>
        <family val="2"/>
      </rPr>
      <t xml:space="preserve"> Dec 24 - Finance Increase from £3K to £3.6K re DDA laptop funding from N/C 4004. </t>
    </r>
    <r>
      <rPr>
        <b/>
        <sz val="11"/>
        <color rgb="FFFF3737"/>
        <rFont val="Arial"/>
        <family val="2"/>
      </rPr>
      <t>Dec 24 - increased 25/26 to £20K for computer updates.</t>
    </r>
    <r>
      <rPr>
        <b/>
        <sz val="11"/>
        <rFont val="Arial"/>
        <family val="2"/>
      </rPr>
      <t xml:space="preserve">  </t>
    </r>
    <r>
      <rPr>
        <b/>
        <u/>
        <sz val="11"/>
        <rFont val="Arial"/>
        <family val="2"/>
      </rPr>
      <t>Jan 25 agreed leasing Computer equipment on 3 year contract @ £7358 p/a (22/3/25 - 21/3/28)</t>
    </r>
    <r>
      <rPr>
        <u/>
        <sz val="11"/>
        <rFont val="Arial"/>
        <family val="2"/>
      </rPr>
      <t xml:space="preserve"> </t>
    </r>
    <r>
      <rPr>
        <b/>
        <u/>
        <sz val="11"/>
        <rFont val="Arial"/>
        <family val="2"/>
      </rPr>
      <t>- 25/26 budget reduced from £20K to £8K + 26/27 - 28/29 increased from £3K to £8K</t>
    </r>
  </si>
  <si>
    <t>New Baileys Court Development</t>
  </si>
  <si>
    <t>See Also N/C 9037</t>
  </si>
  <si>
    <t>2023/24 - Audited Figures</t>
  </si>
  <si>
    <t>2024/25 Actuals @ 20/5/25</t>
  </si>
  <si>
    <t xml:space="preserve">MUGA/Basket Ball Nets </t>
  </si>
  <si>
    <r>
      <t xml:space="preserve">3 Yr Fixed price Contract Ambience </t>
    </r>
    <r>
      <rPr>
        <b/>
        <sz val="11"/>
        <rFont val="Arial"/>
        <family val="2"/>
      </rPr>
      <t>£14,320.40</t>
    </r>
    <r>
      <rPr>
        <sz val="11"/>
        <rFont val="Arial"/>
        <family val="2"/>
      </rPr>
      <t xml:space="preserve"> p/a approved 17/4/19 (Contract ends 31/3/22</t>
    </r>
    <r>
      <rPr>
        <b/>
        <sz val="11"/>
        <rFont val="Arial"/>
        <family val="2"/>
      </rPr>
      <t xml:space="preserve">) </t>
    </r>
    <r>
      <rPr>
        <sz val="11"/>
        <rFont val="Arial"/>
        <family val="2"/>
      </rPr>
      <t xml:space="preserve">+ est  </t>
    </r>
    <r>
      <rPr>
        <b/>
        <sz val="11"/>
        <rFont val="Arial"/>
        <family val="2"/>
      </rPr>
      <t xml:space="preserve">£3000 </t>
    </r>
    <r>
      <rPr>
        <sz val="11"/>
        <rFont val="Arial"/>
        <family val="2"/>
      </rPr>
      <t xml:space="preserve">for top dressing 2 football pitches + est </t>
    </r>
    <r>
      <rPr>
        <b/>
        <sz val="11"/>
        <rFont val="Arial"/>
        <family val="2"/>
      </rPr>
      <t>£5500</t>
    </r>
    <r>
      <rPr>
        <sz val="11"/>
        <rFont val="Arial"/>
        <family val="2"/>
      </rPr>
      <t xml:space="preserve"> for additional pitch and grounds repairs etc including Vertidrainer service est</t>
    </r>
    <r>
      <rPr>
        <b/>
        <sz val="11"/>
        <rFont val="Arial"/>
        <family val="2"/>
      </rPr>
      <t xml:space="preserve"> £500</t>
    </r>
    <r>
      <rPr>
        <sz val="11"/>
        <rFont val="Arial"/>
        <family val="2"/>
      </rPr>
      <t xml:space="preserve"> p/a + hard courts and floodlights maintenance/repairs. Based upon historic figures + includes village green maintenance.  June 2020 Finance Reduce from £24740 to £2K based upon historic figures.  </t>
    </r>
    <r>
      <rPr>
        <b/>
        <sz val="11"/>
        <rFont val="Arial"/>
        <family val="2"/>
      </rPr>
      <t xml:space="preserve">Nov 20 approved £8903 to resurface JC courts and install pickleball markings on 2 courts . Balance from JC budgets- see NC 3086. March 22 approved Prestige for ground maintenance @ £13,437 to 31/3/22. </t>
    </r>
    <r>
      <rPr>
        <sz val="11"/>
        <rFont val="Arial"/>
        <family val="2"/>
      </rPr>
      <t>9/6/22 - £938.45 tarmac insurance received see NC 4003 - increase to £22157.</t>
    </r>
    <r>
      <rPr>
        <b/>
        <sz val="11"/>
        <rFont val="Arial"/>
        <family val="2"/>
      </rPr>
      <t xml:space="preserve"> Nov 22 approved 2023/24 budget Ground Maintenance contract ends 31/3/23 23 - The current annual contract is £13,437. Increase by 10% in view of CPI &amp; high fuel costs = £14,800 p/a + estimated £8K for additional pitch, hard courts, trees, grounds works and equipment repairs. </t>
    </r>
    <r>
      <rPr>
        <b/>
        <sz val="11"/>
        <color rgb="FFFF0000"/>
        <rFont val="Arial"/>
        <family val="2"/>
      </rPr>
      <t xml:space="preserve">March 23 - Prestige approved on 3 yr NON FIXED PRICE - £13,164 p/a for 23/24 + add est 3% p/a after. </t>
    </r>
    <r>
      <rPr>
        <u/>
        <sz val="11"/>
        <color rgb="FFFF0000"/>
        <rFont val="Arial"/>
        <family val="2"/>
      </rPr>
      <t>March 24 Council approved £170 for Xmas tree &amp; £510 to install electrics from 23/24 budgets.</t>
    </r>
    <r>
      <rPr>
        <sz val="11"/>
        <rFont val="Arial"/>
        <family val="2"/>
      </rPr>
      <t xml:space="preserve"> </t>
    </r>
    <r>
      <rPr>
        <b/>
        <sz val="11"/>
        <color rgb="FFFF0000"/>
        <rFont val="Arial"/>
        <family val="2"/>
      </rPr>
      <t>July 25 Finance approved Little Acorn funding of £2066.68 for outside improvements to fence and flooring</t>
    </r>
  </si>
  <si>
    <r>
      <rPr>
        <sz val="11"/>
        <rFont val="Arial"/>
        <family val="2"/>
      </rPr>
      <t>July 23 Finance approved setting up new budget for Local Nature Action  Plan which Bradley Stoke  In Bloom can also utilise in the future after their funding N/C 3017 has been spent.</t>
    </r>
    <r>
      <rPr>
        <b/>
        <sz val="11"/>
        <rFont val="Arial"/>
        <family val="2"/>
      </rPr>
      <t xml:space="preserve"> </t>
    </r>
    <r>
      <rPr>
        <sz val="11"/>
        <rFont val="Arial"/>
        <family val="2"/>
      </rPr>
      <t>28/1/25 - Lovell Care Home Donation for  Community Orchard £200  + Willowbrook Donation for  Community Orchard £300 - See N/C 4003 .</t>
    </r>
    <r>
      <rPr>
        <b/>
        <sz val="11"/>
        <rFont val="Arial"/>
        <family val="2"/>
      </rPr>
      <t>March 25 ARV = £75 + £700 Tree Council Donations for Community Orchard = £775 - See N/C 4003.</t>
    </r>
    <r>
      <rPr>
        <b/>
        <sz val="11"/>
        <color rgb="FFFF0000"/>
        <rFont val="Arial"/>
        <family val="2"/>
      </rPr>
      <t xml:space="preserve"> </t>
    </r>
    <r>
      <rPr>
        <b/>
        <u/>
        <sz val="11"/>
        <color rgb="FFFF0000"/>
        <rFont val="Arial"/>
        <family val="2"/>
      </rPr>
      <t>MARCH 25 COUNCIL - APPROVED ROLLING ANY UNSPENT 24/25 BUDGET INTO 25/26 AY YEAR END = £1219.50</t>
    </r>
    <r>
      <rPr>
        <b/>
        <sz val="11"/>
        <color rgb="FFFF0000"/>
        <rFont val="Arial"/>
        <family val="2"/>
      </rPr>
      <t>. July 25 - £9780 Stronger together Community Grant for Orchard received Aug 25 - See N/C 4003</t>
    </r>
  </si>
  <si>
    <r>
      <rPr>
        <sz val="11"/>
        <color theme="1"/>
        <rFont val="Arial"/>
        <family val="2"/>
      </rPr>
      <t>Warm Spaces separated for 23/24- £2.5K (BC = £2.5K, JC = £2.5K , BW = £1.5K Nov 23 - Mar 24)Funding due from Sth Glos see N/C 4002 with any deficit funded from Community Development Budget N/C 5074- Approved Nov 23.</t>
    </r>
    <r>
      <rPr>
        <b/>
        <sz val="11"/>
        <color theme="1"/>
        <rFont val="Arial"/>
        <family val="2"/>
      </rPr>
      <t xml:space="preserve"> </t>
    </r>
    <r>
      <rPr>
        <sz val="11"/>
        <color theme="1"/>
        <rFont val="Arial"/>
        <family val="2"/>
      </rPr>
      <t>2024/25 received BC = £2.5K, JC = £2.5K , BW = £2K see NC 4002a. Budget covers electricity/staffing and other costs therefore no specific budget set for supplies at this stage.</t>
    </r>
    <r>
      <rPr>
        <b/>
        <sz val="11"/>
        <color theme="1"/>
        <rFont val="Arial"/>
        <family val="2"/>
      </rPr>
      <t xml:space="preserve"> Nov 24 Finance - Establish initial budget @ £600 from 2024/25 from grant funding in N/C 4002.</t>
    </r>
    <r>
      <rPr>
        <b/>
        <sz val="11"/>
        <color rgb="FFFF0000"/>
        <rFont val="Arial"/>
        <family val="2"/>
      </rPr>
      <t xml:space="preserve"> 22/8/25 Warm Space funding awarded for JC &amp; BC = £6K (50/50) - See 4002</t>
    </r>
  </si>
  <si>
    <r>
      <rPr>
        <b/>
        <u/>
        <sz val="11"/>
        <rFont val="Arial"/>
        <family val="2"/>
      </rPr>
      <t>NALC/ALCA = £2565.49 expected for 2025/26</t>
    </r>
    <r>
      <rPr>
        <b/>
        <u/>
        <sz val="11"/>
        <color rgb="FFFF0000"/>
        <rFont val="Arial"/>
        <family val="2"/>
      </rPr>
      <t xml:space="preserve">  - 2024/25</t>
    </r>
    <r>
      <rPr>
        <sz val="11"/>
        <color rgb="FFFF0000"/>
        <rFont val="Arial"/>
        <family val="2"/>
      </rPr>
      <t xml:space="preserve"> - SLCC est </t>
    </r>
    <r>
      <rPr>
        <b/>
        <sz val="11"/>
        <color rgb="FFFF0000"/>
        <rFont val="Arial"/>
        <family val="2"/>
      </rPr>
      <t>£440</t>
    </r>
    <r>
      <rPr>
        <sz val="11"/>
        <color rgb="FFFF0000"/>
        <rFont val="Arial"/>
        <family val="2"/>
      </rPr>
      <t xml:space="preserve"> for Sharon + Deputy est </t>
    </r>
    <r>
      <rPr>
        <b/>
        <sz val="11"/>
        <color rgb="FFFF0000"/>
        <rFont val="Arial"/>
        <family val="2"/>
      </rPr>
      <t>£440</t>
    </r>
    <r>
      <rPr>
        <sz val="11"/>
        <color rgb="FFFF0000"/>
        <rFont val="Arial"/>
        <family val="2"/>
      </rPr>
      <t xml:space="preserve"> + NALC/ALCA = £2481 confirmed for 24/25 + SW Councils retained as updates are useful - 25/26 - £630 ,Data Protection reg est  </t>
    </r>
    <r>
      <rPr>
        <b/>
        <sz val="11"/>
        <color rgb="FFFF0000"/>
        <rFont val="Arial"/>
        <family val="2"/>
      </rPr>
      <t>£80</t>
    </r>
    <r>
      <rPr>
        <sz val="11"/>
        <color rgb="FFFF0000"/>
        <rFont val="Arial"/>
        <family val="2"/>
      </rPr>
      <t xml:space="preserve"> others </t>
    </r>
    <r>
      <rPr>
        <b/>
        <sz val="11"/>
        <color rgb="FFFF0000"/>
        <rFont val="Arial"/>
        <family val="2"/>
      </rPr>
      <t>£500</t>
    </r>
    <r>
      <rPr>
        <sz val="11"/>
        <rFont val="Arial"/>
        <family val="2"/>
      </rPr>
      <t>.</t>
    </r>
    <r>
      <rPr>
        <sz val="11"/>
        <color rgb="FFFF0000"/>
        <rFont val="Arial"/>
        <family val="2"/>
      </rPr>
      <t xml:space="preserve"> </t>
    </r>
    <r>
      <rPr>
        <sz val="11"/>
        <rFont val="Arial"/>
        <family val="2"/>
      </rPr>
      <t xml:space="preserve">These items include official bodies and publications directed at local government/town councils in order to keep up to date with legislation. Council approved Parish OnLine Mapping @ £990 p/a  but this was reversed in 2022. </t>
    </r>
    <r>
      <rPr>
        <b/>
        <sz val="11"/>
        <color rgb="FFFF0000"/>
        <rFont val="Arial"/>
        <family val="2"/>
      </rPr>
      <t>Dec 23 approved 24/25 budget reduction to £4491</t>
    </r>
    <r>
      <rPr>
        <sz val="11"/>
        <rFont val="Arial"/>
        <family val="2"/>
      </rPr>
      <t xml:space="preserve">. </t>
    </r>
    <r>
      <rPr>
        <b/>
        <u/>
        <sz val="11"/>
        <color rgb="FFFF0000"/>
        <rFont val="Arial"/>
        <family val="2"/>
      </rPr>
      <t>Sept 24 Finance - Reduce from £4491 to £4050 Based upon current figures</t>
    </r>
    <r>
      <rPr>
        <sz val="11"/>
        <rFont val="Arial"/>
        <family val="2"/>
      </rPr>
      <t>.</t>
    </r>
  </si>
  <si>
    <t xml:space="preserve">August 25 increase by  £495 (prepay £185) for Lemon Bookings from N/C 3018 </t>
  </si>
  <si>
    <r>
      <t>In business plan for future booking/payment system upgrades -</t>
    </r>
    <r>
      <rPr>
        <b/>
        <sz val="11"/>
        <rFont val="Arial"/>
        <family val="2"/>
      </rPr>
      <t xml:space="preserve"> See N/C 5023</t>
    </r>
    <r>
      <rPr>
        <sz val="11"/>
        <rFont val="Arial"/>
        <family val="2"/>
      </rPr>
      <t xml:space="preserve">. </t>
    </r>
    <r>
      <rPr>
        <b/>
        <sz val="11"/>
        <color rgb="FFFF0000"/>
        <rFont val="Arial"/>
        <family val="2"/>
      </rPr>
      <t>Aug 25 Lemon Bookings Subs for BW £495 p/a (£185 prepay) to N/C 5023</t>
    </r>
  </si>
  <si>
    <r>
      <t xml:space="preserve">Rolled from 2010/11. Sept 2012 strategic planning changed name from solar panels to Green Resources and retain budget at £25,086.Oct 2014 council moved £1310 to N/c 8041 re BC LED lights and approved future LED &amp; hand dryer costs for all sites to be used. Dec 2014 £2920 tfrd to various N/C re hand dryers &amp; LED lights. Feb 14 tfr £690 to N/C 8041 re LED + £240 to N/C 9027 re dryers. </t>
    </r>
    <r>
      <rPr>
        <u/>
        <sz val="11"/>
        <rFont val="Arial"/>
        <family val="2"/>
      </rPr>
      <t xml:space="preserve">£31/3/15 - £930 tfrd at year end. £498 to N/C 5041, £1462 to N/C 6041, £1920 to N/C 8041 = £3880 re LED lights + Infrared taps. </t>
    </r>
    <r>
      <rPr>
        <sz val="11"/>
        <rFont val="Arial"/>
        <family val="2"/>
      </rPr>
      <t>Oct 18 Finance reduced to £5K as most work now complete under maintenence budgets. July 2020 Council agreed to obtain quotes for solar panels.</t>
    </r>
    <r>
      <rPr>
        <b/>
        <sz val="11"/>
        <rFont val="Arial"/>
        <family val="2"/>
      </rPr>
      <t>Sept  agreed additional solar panel quotes. Existing estimates in region of = BC -£23K, BW -£24K, JC £28K</t>
    </r>
    <r>
      <rPr>
        <sz val="11"/>
        <rFont val="Arial"/>
        <family val="2"/>
      </rPr>
      <t xml:space="preserve">.  </t>
    </r>
    <r>
      <rPr>
        <b/>
        <sz val="11"/>
        <rFont val="Arial"/>
        <family val="2"/>
      </rPr>
      <t>March 23 - Increase to £50K from year end surplus - Approved June 23 Finance</t>
    </r>
    <r>
      <rPr>
        <sz val="11"/>
        <rFont val="Arial"/>
        <family val="2"/>
      </rPr>
      <t xml:space="preserve">. </t>
    </r>
    <r>
      <rPr>
        <b/>
        <sz val="11"/>
        <rFont val="Arial"/>
        <family val="2"/>
      </rPr>
      <t>24/25 - MAF Funding to c/fwd to 25/26 from N/C 4003</t>
    </r>
    <r>
      <rPr>
        <sz val="11"/>
        <rFont val="Arial"/>
        <family val="2"/>
      </rPr>
      <t xml:space="preserve"> </t>
    </r>
    <r>
      <rPr>
        <b/>
        <sz val="11"/>
        <rFont val="Arial"/>
        <family val="2"/>
      </rPr>
      <t>see also NC 9053.</t>
    </r>
    <r>
      <rPr>
        <b/>
        <sz val="11"/>
        <color rgb="FFFF3737"/>
        <rFont val="Arial"/>
        <family val="2"/>
      </rPr>
      <t xml:space="preserve"> </t>
    </r>
    <r>
      <rPr>
        <sz val="11"/>
        <color rgb="FFFF3737"/>
        <rFont val="Arial"/>
        <family val="2"/>
      </rPr>
      <t>April 25 - £20K Lottery funding for solar panels see N/C 4002.</t>
    </r>
    <r>
      <rPr>
        <b/>
        <u/>
        <sz val="11"/>
        <color rgb="FFFF0000"/>
        <rFont val="Arial"/>
        <family val="2"/>
      </rPr>
      <t xml:space="preserve"> July 25 Council approved Ecocetera @ £46,800 for JC solar panels - see NC 9053</t>
    </r>
    <r>
      <rPr>
        <sz val="11"/>
        <rFont val="Arial"/>
        <family val="2"/>
      </rPr>
      <t xml:space="preserve">.  </t>
    </r>
    <r>
      <rPr>
        <sz val="11"/>
        <color rgb="FFFF0000"/>
        <rFont val="Arial"/>
        <family val="2"/>
      </rPr>
      <t>19/8/25 - £46.8K tfrd to NC 9053</t>
    </r>
  </si>
  <si>
    <r>
      <rPr>
        <b/>
        <sz val="11"/>
        <rFont val="Arial"/>
        <family val="2"/>
      </rPr>
      <t>March 23 - Increase to reserve to £50K from year end surplus - Approved June 23 Finance. 24/25 - MAF Funding to c/fwd to 25/26 from N/C 4003 . In earmarked reserves N/C 3082 see also NC 9053 for solar panels at JC - £50,5K</t>
    </r>
    <r>
      <rPr>
        <b/>
        <sz val="11"/>
        <color rgb="FFFF0000"/>
        <rFont val="Arial"/>
        <family val="2"/>
      </rPr>
      <t xml:space="preserve">. </t>
    </r>
    <r>
      <rPr>
        <b/>
        <u/>
        <sz val="11"/>
        <color rgb="FFFF0000"/>
        <rFont val="Arial"/>
        <family val="2"/>
      </rPr>
      <t>July 25 council  £46,800 approved for JC solar</t>
    </r>
    <r>
      <rPr>
        <b/>
        <sz val="11"/>
        <color rgb="FFFF0000"/>
        <rFont val="Arial"/>
        <family val="2"/>
      </rPr>
      <t xml:space="preserve"> panels - See N/C 3082. 1</t>
    </r>
    <r>
      <rPr>
        <sz val="11"/>
        <color rgb="FFFF0000"/>
        <rFont val="Arial"/>
        <family val="2"/>
      </rPr>
      <t>9/8/25-Tfr £46.8K from N/C 3082</t>
    </r>
  </si>
  <si>
    <r>
      <rPr>
        <sz val="11"/>
        <color rgb="FFFF0000"/>
        <rFont val="Arial"/>
        <family val="2"/>
      </rPr>
      <t>£5K is for the Mugga</t>
    </r>
    <r>
      <rPr>
        <sz val="11"/>
        <color theme="1"/>
        <rFont val="Arial"/>
        <family val="2"/>
      </rPr>
      <t xml:space="preserve">. </t>
    </r>
    <r>
      <rPr>
        <sz val="11"/>
        <color rgb="FFFF0000"/>
        <rFont val="Arial"/>
        <family val="2"/>
      </rPr>
      <t>May 22 approved uplift for Mugga from £5K to £26K in 2021/22.</t>
    </r>
    <r>
      <rPr>
        <b/>
        <sz val="11"/>
        <color rgb="FFFF0000"/>
        <rFont val="Arial"/>
        <family val="2"/>
      </rPr>
      <t xml:space="preserve"> Aug 22 LY&amp;A approved £5K for basket ball hoops &amp; markings pending Section 106 funding , March 23 Council reapproved £5K for basket ball hoops, retractable net at JC</t>
    </r>
    <r>
      <rPr>
        <b/>
        <sz val="11"/>
        <color rgb="FFFF3737"/>
        <rFont val="Arial"/>
        <family val="2"/>
      </rPr>
      <t xml:space="preserve"> to NC 9030 - Cancelled</t>
    </r>
    <r>
      <rPr>
        <sz val="11"/>
        <color theme="1"/>
        <rFont val="Arial"/>
        <family val="2"/>
      </rPr>
      <t xml:space="preserve">. </t>
    </r>
    <r>
      <rPr>
        <b/>
        <sz val="11"/>
        <color rgb="FF00B050"/>
        <rFont val="Arial"/>
        <family val="2"/>
      </rPr>
      <t>May 23 - S106 Capital funding has been confirmed but not claimed for the MUGA = £3,981.29 +  Oct 23 = £35,395.95 +  increasing project budget to £65,917.24 + reveue funding of £10,876.58 (N/C 4002/ 3022).</t>
    </r>
    <r>
      <rPr>
        <sz val="11"/>
        <color theme="1"/>
        <rFont val="Arial"/>
        <family val="2"/>
      </rPr>
      <t xml:space="preserve"> </t>
    </r>
    <r>
      <rPr>
        <b/>
        <sz val="11"/>
        <color rgb="FFFF0000"/>
        <rFont val="Arial"/>
        <family val="2"/>
      </rPr>
      <t xml:space="preserve"> July 25 Council approved architect plans for MUGA @ £2475 - see N/C 3022. </t>
    </r>
    <r>
      <rPr>
        <sz val="11"/>
        <color rgb="FFFF0000"/>
        <rFont val="Arial"/>
        <family val="2"/>
      </rPr>
      <t>30/6/25 -£3225 from NC 3022 for MUGA survey fees + engineers report.</t>
    </r>
  </si>
  <si>
    <r>
      <rPr>
        <sz val="11"/>
        <rFont val="Arial"/>
        <family val="2"/>
      </rPr>
      <t xml:space="preserve">Strategic Planning Projects (projects awaiting pricing and approval) Estimated Costings pending quotes - Mugga </t>
    </r>
    <r>
      <rPr>
        <b/>
        <sz val="11"/>
        <rFont val="Arial"/>
        <family val="2"/>
      </rPr>
      <t>£5K</t>
    </r>
    <r>
      <rPr>
        <sz val="11"/>
        <rFont val="Arial"/>
        <family val="2"/>
      </rPr>
      <t xml:space="preserve"> (reduced Dec 17 as £15K external funding to be sought) + Cricket nets £2K + BC Boulders &amp; soil banks on BS Way + BW </t>
    </r>
    <r>
      <rPr>
        <b/>
        <sz val="11"/>
        <rFont val="Arial"/>
        <family val="2"/>
      </rPr>
      <t>£6K</t>
    </r>
    <r>
      <rPr>
        <sz val="11"/>
        <rFont val="Arial"/>
        <family val="2"/>
      </rPr>
      <t xml:space="preserve"> + Beautification </t>
    </r>
    <r>
      <rPr>
        <b/>
        <sz val="11"/>
        <rFont val="Arial"/>
        <family val="2"/>
      </rPr>
      <t>£2K -</t>
    </r>
    <r>
      <rPr>
        <sz val="11"/>
        <rFont val="Arial"/>
        <family val="2"/>
      </rPr>
      <t xml:space="preserve"> See N/C 9042. March 18 Council approved £2048 for safety netting - NC 9032 - £509.89 tfrd + £1490 to part fund graffiti steam cleaner N/C 9033.£54.12 tfrd to N/c 9042 re Rowan trees. 18 Finance approved reducing by £6K as Boulders and soil banks not now required or other works done. 21/11/18 Council reduced budget re roundabout beautification from £2K to £1240 for installation - reapproved 13/3/19 and then ongoing from NC 5040. </t>
    </r>
    <r>
      <rPr>
        <b/>
        <sz val="11"/>
        <rFont val="Arial"/>
        <family val="2"/>
      </rPr>
      <t>Oct 20 reduce budget to £5K as roundabouts installed in 2019 . £1240 budget moved to NC 504</t>
    </r>
    <r>
      <rPr>
        <sz val="11"/>
        <rFont val="Arial"/>
        <family val="2"/>
      </rPr>
      <t>0. Remaining £5K is for the Mugga. May 22 approved uplift for Mugga from £5K to £26K in 2021/22.</t>
    </r>
    <r>
      <rPr>
        <b/>
        <sz val="11"/>
        <rFont val="Arial"/>
        <family val="2"/>
      </rPr>
      <t xml:space="preserve"> Aug 22 LY&amp;A approved £5K for basket ball hoops &amp; markings pending Section 106 funding , March 23 Council reapproved £5K for basket ball hoops, retractable net at JC to NC 9030 - Cancelled</t>
    </r>
    <r>
      <rPr>
        <sz val="11"/>
        <rFont val="Arial"/>
        <family val="2"/>
      </rPr>
      <t>.</t>
    </r>
    <r>
      <rPr>
        <sz val="11"/>
        <color theme="1"/>
        <rFont val="Arial"/>
        <family val="2"/>
      </rPr>
      <t xml:space="preserve"> </t>
    </r>
    <r>
      <rPr>
        <b/>
        <sz val="11"/>
        <color rgb="FF00B050"/>
        <rFont val="Arial"/>
        <family val="2"/>
      </rPr>
      <t>May 23 - S106 Capital funding has been confirmed but not claimed for the MUGA = £3,981.29 +  Oct 23 = £35,395.95 +  increasing project budget to £65,917.24 + revenue funding of £10,876.58 (N/C 4002/ 9051).</t>
    </r>
    <r>
      <rPr>
        <b/>
        <sz val="11"/>
        <color rgb="FFFF0000"/>
        <rFont val="Arial"/>
        <family val="2"/>
      </rPr>
      <t xml:space="preserve">24/25 Mugga = £26K </t>
    </r>
    <r>
      <rPr>
        <b/>
        <sz val="11"/>
        <color rgb="FF00B050"/>
        <rFont val="Arial"/>
        <family val="2"/>
      </rPr>
      <t xml:space="preserve"> (S106 Cap grant = £3981.29 + £35935.95 to be applied for) = £65,917.24</t>
    </r>
    <r>
      <rPr>
        <sz val="11"/>
        <color theme="1"/>
        <rFont val="Arial"/>
        <family val="2"/>
      </rPr>
      <t xml:space="preserve">. </t>
    </r>
    <r>
      <rPr>
        <b/>
        <sz val="11"/>
        <color rgb="FFFF0000"/>
        <rFont val="Arial"/>
        <family val="2"/>
      </rPr>
      <t>July Council approved architect plans for MUGA @ £2475 - see N/C 9051</t>
    </r>
    <r>
      <rPr>
        <sz val="11"/>
        <color theme="1"/>
        <rFont val="Arial"/>
        <family val="2"/>
      </rPr>
      <t xml:space="preserve">. </t>
    </r>
    <r>
      <rPr>
        <sz val="11"/>
        <color rgb="FFFF0000"/>
        <rFont val="Arial"/>
        <family val="2"/>
      </rPr>
      <t xml:space="preserve"> 30/6/25- £3225 tfr to NC 9051 for Surveys+ Engineers</t>
    </r>
  </si>
  <si>
    <r>
      <t xml:space="preserve">13/3/19 Council approved up to £15K for metal community shelter, base and paths from N/C 5074 (Community Grant aid) reserved to N/C 3070 at year end against N/C 9038. £8050 tfd to NC 9038 re Community shelter. </t>
    </r>
    <r>
      <rPr>
        <b/>
        <sz val="11"/>
        <rFont val="Arial"/>
        <family val="2"/>
      </rPr>
      <t>Aug 19 Finance - approved holding £6300 towards purchase of leisure equipment N/C 9038.</t>
    </r>
    <r>
      <rPr>
        <sz val="11"/>
        <rFont val="Arial"/>
        <family val="2"/>
      </rPr>
      <t xml:space="preserve"> </t>
    </r>
    <r>
      <rPr>
        <b/>
        <sz val="11"/>
        <rFont val="Arial"/>
        <family val="2"/>
      </rPr>
      <t>March 22 Council approved £2K for pond refurbishment</t>
    </r>
    <r>
      <rPr>
        <sz val="11"/>
        <rFont val="Arial"/>
        <family val="2"/>
      </rPr>
      <t xml:space="preserve"> </t>
    </r>
    <r>
      <rPr>
        <b/>
        <sz val="11"/>
        <rFont val="Arial"/>
        <family val="2"/>
      </rPr>
      <t>from 21/22 year end surplus against NC 9038</t>
    </r>
    <r>
      <rPr>
        <sz val="11"/>
        <rFont val="Arial"/>
        <family val="2"/>
      </rPr>
      <t xml:space="preserve">. </t>
    </r>
    <r>
      <rPr>
        <b/>
        <sz val="11"/>
        <rFont val="Arial"/>
        <family val="2"/>
      </rPr>
      <t>May 22 increase Leisure equipment from £6.3K to £17.5K</t>
    </r>
    <r>
      <rPr>
        <sz val="11"/>
        <rFont val="Arial"/>
        <family val="2"/>
      </rPr>
      <t xml:space="preserve"> + June council approved allocation of CIL money £4355.05 to increase leisure equipment to £21,855.05 + £2K David Pond Refurb to NC 6046= £23855.05. Oct 22 - £900 tfrd to NC 9038 re BART Mgt plan for Davis Pond. </t>
    </r>
    <r>
      <rPr>
        <b/>
        <sz val="11"/>
        <rFont val="Arial"/>
        <family val="2"/>
      </rPr>
      <t>Nov 22 approved Davis Pond Exp of £1100</t>
    </r>
    <r>
      <rPr>
        <sz val="11"/>
        <rFont val="Arial"/>
        <family val="2"/>
      </rPr>
      <t xml:space="preserve"> </t>
    </r>
    <r>
      <rPr>
        <b/>
        <sz val="11"/>
        <rFont val="Arial"/>
        <family val="2"/>
      </rPr>
      <t>- reserve adjusted to £24,065.05 for acrued exp - Approved June 23 Finance</t>
    </r>
    <r>
      <rPr>
        <sz val="11"/>
        <rFont val="Arial"/>
        <family val="2"/>
      </rPr>
      <t xml:space="preserve">. </t>
    </r>
    <r>
      <rPr>
        <b/>
        <sz val="11"/>
        <rFont val="Arial"/>
        <family val="2"/>
      </rPr>
      <t xml:space="preserve">July 23 council approved allocating £17,420.21 22/23 CIL funding against leisure equipment increasing to £39,275.26 (taken from N/C 3089) &amp; £2210 remains for Davies Pond = Increase budget to £41,485.26. </t>
    </r>
    <r>
      <rPr>
        <sz val="11"/>
        <rFont val="Arial"/>
        <family val="2"/>
      </rPr>
      <t>Sep 23 - Finance approved moving £62,104.18 to Leisure equipment following reduction of BW storage project increasing to £101,379.44.</t>
    </r>
    <r>
      <rPr>
        <sz val="11"/>
        <color rgb="FFFF0000"/>
        <rFont val="Arial"/>
        <family val="2"/>
      </rPr>
      <t xml:space="preserve"> </t>
    </r>
    <r>
      <rPr>
        <b/>
        <sz val="11"/>
        <color rgb="FF00B050"/>
        <rFont val="Arial"/>
        <family val="2"/>
      </rPr>
      <t>Note Oct 23 - S106 Capital funding (NC 4002) has been confirmed but not claimed for the fitness equipment = £10,975.15 (applied to N/C 9038) increasing project budget to £133,354.59 + revenue funding of £11,540.45 applied to N/C 3001</t>
    </r>
    <r>
      <rPr>
        <sz val="11"/>
        <rFont val="Arial"/>
        <family val="2"/>
      </rPr>
      <t xml:space="preserve">. </t>
    </r>
    <r>
      <rPr>
        <b/>
        <sz val="11"/>
        <color rgb="FFFF0000"/>
        <rFont val="Arial"/>
        <family val="2"/>
      </rPr>
      <t>Jan 24 Council approved Kompan quote for Leisure Equipment @ £80,293.20 see N/C 9038 (budget = £101379.44)</t>
    </r>
    <r>
      <rPr>
        <sz val="11"/>
        <rFont val="Arial"/>
        <family val="2"/>
      </rPr>
      <t xml:space="preserve">. </t>
    </r>
    <r>
      <rPr>
        <b/>
        <sz val="11"/>
        <rFont val="Arial"/>
        <family val="2"/>
      </rPr>
      <t xml:space="preserve"> 31/3/24 - £1860 tfrd from 3070 re Davis pond - leaves £495 accrued expenditure in 23/24 (N/C 9038) + £320.16 tfrd re Leisure equipment (N/C 9038).</t>
    </r>
    <r>
      <rPr>
        <sz val="11"/>
        <rFont val="Arial"/>
        <family val="2"/>
      </rPr>
      <t xml:space="preserve"> </t>
    </r>
    <r>
      <rPr>
        <b/>
        <sz val="11"/>
        <color rgb="FFFF0000"/>
        <rFont val="Arial"/>
        <family val="2"/>
      </rPr>
      <t>24/25 Remaining budget = £101,379.44 for Leisure equipment (NC 9038) with approved quote = £80,293.20 - Reduced to £78,157.48</t>
    </r>
    <r>
      <rPr>
        <b/>
        <sz val="11"/>
        <color rgb="FF00B050"/>
        <rFont val="Arial"/>
        <family val="2"/>
      </rPr>
      <t xml:space="preserve"> less S106 cap grant  £10975.15 = </t>
    </r>
    <r>
      <rPr>
        <b/>
        <u/>
        <sz val="11"/>
        <color rgb="FF00B050"/>
        <rFont val="Arial"/>
        <family val="2"/>
      </rPr>
      <t>£67182.33</t>
    </r>
    <r>
      <rPr>
        <sz val="11"/>
        <rFont val="Arial"/>
        <family val="2"/>
      </rPr>
      <t>.</t>
    </r>
    <r>
      <rPr>
        <b/>
        <sz val="11"/>
        <color rgb="FFFF0000"/>
        <rFont val="Arial"/>
        <family val="2"/>
      </rPr>
      <t>Sept 24 council- £15215 reserve moved from N/C 3070 re Leisure equipment surplus to Beacon Play area refurbishment (N/C 3016)</t>
    </r>
    <r>
      <rPr>
        <sz val="11"/>
        <rFont val="Arial"/>
        <family val="2"/>
      </rPr>
      <t xml:space="preserve"> - </t>
    </r>
    <r>
      <rPr>
        <u/>
        <sz val="11"/>
        <color rgb="FFFF0000"/>
        <rFont val="Arial"/>
        <family val="2"/>
      </rPr>
      <t>11/2/25 - £66,687.33 tfrd to N/C 9038 re Fitness Equipment on Village Green</t>
    </r>
    <r>
      <rPr>
        <sz val="11"/>
        <rFont val="Arial"/>
        <family val="2"/>
      </rPr>
      <t xml:space="preserve">. </t>
    </r>
    <r>
      <rPr>
        <b/>
        <sz val="11"/>
        <color rgb="FFFF0000"/>
        <rFont val="Arial"/>
        <family val="2"/>
      </rPr>
      <t>Sept 25 £900 tfrd to NC 9038 re Davis Pond</t>
    </r>
  </si>
  <si>
    <r>
      <t xml:space="preserve">Nominal budget. </t>
    </r>
    <r>
      <rPr>
        <b/>
        <sz val="11"/>
        <rFont val="Arial"/>
        <family val="2"/>
      </rPr>
      <t>24/25 May 24 Finance -approved multi media room - £7K (N/C 3012). June 24 reduced to £3988 from NC 3012 - budget now £4988</t>
    </r>
    <r>
      <rPr>
        <b/>
        <sz val="11"/>
        <color rgb="FFFF0000"/>
        <rFont val="Arial"/>
        <family val="2"/>
      </rPr>
      <t>. Oct 25 Finance approved Staff alarm pendant @ £404.24 from year end surplus if req'd.</t>
    </r>
    <r>
      <rPr>
        <sz val="11"/>
        <rFont val="Arial"/>
        <family val="2"/>
      </rPr>
      <t xml:space="preserve"> </t>
    </r>
  </si>
  <si>
    <r>
      <t xml:space="preserve">Nominal budget also covering sports equipment such as goal nets etc.  June 2020 Finance Reduced from £2k to £1.5K. </t>
    </r>
    <r>
      <rPr>
        <b/>
        <sz val="11"/>
        <rFont val="Arial"/>
        <family val="2"/>
      </rPr>
      <t>June 23 Finance reduced to £1K</t>
    </r>
    <r>
      <rPr>
        <sz val="11"/>
        <rFont val="Arial"/>
        <family val="2"/>
      </rPr>
      <t xml:space="preserve">. </t>
    </r>
    <r>
      <rPr>
        <b/>
        <sz val="11"/>
        <rFont val="Arial"/>
        <family val="2"/>
      </rPr>
      <t xml:space="preserve">24/25 May 24 Finance -approved multi media room - £8K (N/C 3012). </t>
    </r>
    <r>
      <rPr>
        <b/>
        <u/>
        <sz val="11"/>
        <rFont val="Arial"/>
        <family val="2"/>
      </rPr>
      <t xml:space="preserve">June 24 reduced to £4978 from NC 3012 - Budget now £5978  + July 24 Finance - see re goalposts shortfall N/C 9025. </t>
    </r>
    <r>
      <rPr>
        <sz val="11"/>
        <rFont val="Arial"/>
        <family val="2"/>
      </rPr>
      <t>Aug 24 adjustment to covers ladders to N/C 9032 re Sage 91702 + 91933.</t>
    </r>
    <r>
      <rPr>
        <u/>
        <sz val="11"/>
        <rFont val="Arial"/>
        <family val="2"/>
      </rPr>
      <t xml:space="preserve"> </t>
    </r>
    <r>
      <rPr>
        <b/>
        <u/>
        <sz val="11"/>
        <rFont val="Arial"/>
        <family val="2"/>
      </rPr>
      <t xml:space="preserve">23/10/24 Finance approved £11,160 to upgrade and replace Floodlight bulbs from N/C 3012. </t>
    </r>
    <r>
      <rPr>
        <u/>
        <sz val="11"/>
        <rFont val="Arial"/>
        <family val="2"/>
      </rPr>
      <t xml:space="preserve">11/2/25- £9.5K tfrd from N/C 3012 to cover part of floodlight cost </t>
    </r>
    <r>
      <rPr>
        <sz val="11"/>
        <rFont val="Arial"/>
        <family val="2"/>
      </rPr>
      <t xml:space="preserve">. </t>
    </r>
    <r>
      <rPr>
        <b/>
        <sz val="11"/>
        <color rgb="FFFF0000"/>
        <rFont val="Arial"/>
        <family val="2"/>
      </rPr>
      <t>Oct 25 Finance approved Staff alarm pendant @ £404.24</t>
    </r>
    <r>
      <rPr>
        <sz val="11"/>
        <rFont val="Arial"/>
        <family val="2"/>
      </rPr>
      <t xml:space="preserve"> </t>
    </r>
    <r>
      <rPr>
        <b/>
        <sz val="11"/>
        <color rgb="FFFF0000"/>
        <rFont val="Arial"/>
        <family val="2"/>
      </rPr>
      <t>+ pre-school panic button £103.60 = £507.84</t>
    </r>
    <r>
      <rPr>
        <sz val="11"/>
        <rFont val="Arial"/>
        <family val="2"/>
      </rPr>
      <t xml:space="preserve"> </t>
    </r>
    <r>
      <rPr>
        <b/>
        <sz val="11"/>
        <color rgb="FFFF0000"/>
        <rFont val="Arial"/>
        <family val="2"/>
      </rPr>
      <t>from year end surplus if req'd</t>
    </r>
    <r>
      <rPr>
        <sz val="11"/>
        <rFont val="Arial"/>
        <family val="2"/>
      </rPr>
      <t>.</t>
    </r>
  </si>
  <si>
    <r>
      <t xml:space="preserve">Nominal budget . </t>
    </r>
    <r>
      <rPr>
        <b/>
        <sz val="12"/>
        <color rgb="FFFF0000"/>
        <rFont val="Arial"/>
        <family val="2"/>
      </rPr>
      <t xml:space="preserve">Oct 25 Finance approved Staff alarm pendant @ £404.24 from year end surplus if req'd. </t>
    </r>
  </si>
  <si>
    <r>
      <t>Nominal budget . 29/6/18 - Council approved £2800 for Aerator for wicket from N/C 3020 by email.  June 2020 Finance Reduced from £2k to £1.5K.</t>
    </r>
    <r>
      <rPr>
        <b/>
        <sz val="12"/>
        <rFont val="Arial"/>
        <family val="2"/>
      </rPr>
      <t xml:space="preserve"> June 23 Finance reduced to £1K</t>
    </r>
    <r>
      <rPr>
        <sz val="12"/>
        <rFont val="Arial"/>
        <family val="2"/>
      </rPr>
      <t xml:space="preserve">. Aug 24 adjustment to covers ladders to N/C 9032 re Sage 91702 + 91933 . </t>
    </r>
    <r>
      <rPr>
        <b/>
        <sz val="12"/>
        <color rgb="FFFF0000"/>
        <rFont val="Arial"/>
        <family val="2"/>
      </rPr>
      <t>Oct 25 Finance approved Staff alarm pendant @ £404.24 + pre-school panic button £103.60 = £507.84</t>
    </r>
    <r>
      <rPr>
        <sz val="12"/>
        <rFont val="Arial"/>
        <family val="2"/>
      </rPr>
      <t xml:space="preserve"> </t>
    </r>
    <r>
      <rPr>
        <b/>
        <sz val="12"/>
        <color rgb="FFFF0000"/>
        <rFont val="Arial"/>
        <family val="2"/>
      </rPr>
      <t>from year end surplus if req'd.</t>
    </r>
  </si>
  <si>
    <r>
      <t xml:space="preserve">See Youth codes N/C 5500. Key Safe for skatepark - Oct 18 £102 tfrd from N/C 5500. </t>
    </r>
    <r>
      <rPr>
        <b/>
        <sz val="11"/>
        <rFont val="Arial"/>
        <family val="2"/>
      </rPr>
      <t xml:space="preserve">Oct 20 - £500 budget moved from NC 5500 to cover laptop. </t>
    </r>
    <r>
      <rPr>
        <sz val="11"/>
        <rFont val="Arial"/>
        <family val="2"/>
      </rPr>
      <t xml:space="preserve">20/2/25 - £284 tfrd from N/C 5500 to cover various sports equipment. </t>
    </r>
    <r>
      <rPr>
        <b/>
        <sz val="11"/>
        <color rgb="FFFF0000"/>
        <rFont val="Arial"/>
        <family val="2"/>
      </rPr>
      <t>Oct 25 Finance approved Staff alarm pendant @ £404.24 from year end surplus if req'd.</t>
    </r>
  </si>
  <si>
    <t>2029/30 Estimated Projection</t>
  </si>
  <si>
    <t xml:space="preserve">Reduce or merge with site income </t>
  </si>
  <si>
    <t>Increase from £4028 to £4200 based upon 25/26 costs</t>
  </si>
  <si>
    <r>
      <rPr>
        <b/>
        <sz val="11"/>
        <color theme="1"/>
        <rFont val="Arial"/>
        <family val="2"/>
      </rPr>
      <t xml:space="preserve">2022/23 - Sept 21 Council agreed franking machine to continue- Est £180 p/a based on new required upgraded contract + 4 refills @ £200 = £800 + cartridges etc est £200 = </t>
    </r>
    <r>
      <rPr>
        <sz val="11"/>
        <color theme="1"/>
        <rFont val="Arial"/>
        <family val="2"/>
      </rPr>
      <t>. Oct 20 New Franking rolling lease agreed @ £7.25 per 1/4 =</t>
    </r>
    <r>
      <rPr>
        <b/>
        <sz val="11"/>
        <color theme="1"/>
        <rFont val="Arial"/>
        <family val="2"/>
      </rPr>
      <t xml:space="preserve"> £29 p/a</t>
    </r>
    <r>
      <rPr>
        <sz val="11"/>
        <color theme="1"/>
        <rFont val="Arial"/>
        <family val="2"/>
      </rPr>
      <t xml:space="preserve"> +  est 3 refills p/a @ £200 = </t>
    </r>
    <r>
      <rPr>
        <b/>
        <sz val="11"/>
        <color theme="1"/>
        <rFont val="Arial"/>
        <family val="2"/>
      </rPr>
      <t>£600</t>
    </r>
    <r>
      <rPr>
        <sz val="11"/>
        <color theme="1"/>
        <rFont val="Arial"/>
        <family val="2"/>
      </rPr>
      <t xml:space="preserve"> + cartridges + other postage etc (est) </t>
    </r>
    <r>
      <rPr>
        <b/>
        <sz val="11"/>
        <color theme="1"/>
        <rFont val="Arial"/>
        <family val="2"/>
      </rPr>
      <t>£200</t>
    </r>
    <r>
      <rPr>
        <sz val="11"/>
        <color theme="1"/>
        <rFont val="Arial"/>
        <family val="2"/>
      </rPr>
      <t>. Franking Lease £37.08 per 1/4 (2016 fixed to 15/12/20 )= £ 149 approved by council June 2014.</t>
    </r>
    <r>
      <rPr>
        <b/>
        <sz val="11"/>
        <color theme="1"/>
        <rFont val="Arial"/>
        <family val="2"/>
      </rPr>
      <t xml:space="preserve"> Sept 24 - budget reduced to £900 from £1180</t>
    </r>
    <r>
      <rPr>
        <sz val="11"/>
        <color theme="1"/>
        <rFont val="Arial"/>
        <family val="2"/>
      </rPr>
      <t xml:space="preserve">. </t>
    </r>
    <r>
      <rPr>
        <b/>
        <sz val="11"/>
        <color rgb="FFFF0000"/>
        <rFont val="Arial"/>
        <family val="2"/>
      </rPr>
      <t>Franking Lease £57.60 per 1/4 (2021 fixed to 10/4/2028 )= £ 149 approved by council Sept  2021. Nov Council reduce from £900 to £500 for 25/26 to 27/28</t>
    </r>
  </si>
  <si>
    <r>
      <t xml:space="preserve">12/10/16 Finance approved email migration to Cloud. Updated to include Symentec increase  uit = £150.45p/m for 2019/20 business cloud email licence = £1805.40 p/a + 18/9/19 Council approved £270 for councillor emails  Estimate £200 p/m for 2021/22. </t>
    </r>
    <r>
      <rPr>
        <b/>
        <sz val="11"/>
        <color rgb="FFFF0000"/>
        <rFont val="Arial"/>
        <family val="2"/>
      </rPr>
      <t>25/26  = £2400 based on £217.16 p/m</t>
    </r>
  </si>
  <si>
    <t>Increase from £4080 (2%) to £4300 (7.5%)</t>
  </si>
  <si>
    <r>
      <t>As approved by Oct 2015 Finance + Nov 2015 Council approved appointing Sth Glos Council for HR @ £52.50 p/h for 2017/18 increasing to £55.5 for 2018/19 (6% increase). Retain budget but to include occupational health &amp; other related items. June 2020 Finance agreed reduction from £2337 to £1800 based upon historic figures.</t>
    </r>
    <r>
      <rPr>
        <b/>
        <sz val="11"/>
        <color theme="1"/>
        <rFont val="Arial"/>
        <family val="2"/>
      </rPr>
      <t>Nov 24 - Finance £700 moved from N/C 5085 to increase budget to £2700</t>
    </r>
  </si>
  <si>
    <r>
      <t>July 16 - contract extended to 31/5/19 (approved May 15) with 10% discount on main Aviva non fleet policy (inc IPT) = £10,671 based upon 2017/18 position @ 1/11/17 =</t>
    </r>
    <r>
      <rPr>
        <b/>
        <sz val="12"/>
        <rFont val="Arial"/>
        <family val="2"/>
      </rPr>
      <t xml:space="preserve"> </t>
    </r>
    <r>
      <rPr>
        <sz val="12"/>
        <rFont val="Arial"/>
        <family val="2"/>
      </rPr>
      <t xml:space="preserve">£12,950 + fleet £855= £13,805 + 3% = </t>
    </r>
    <r>
      <rPr>
        <b/>
        <sz val="12"/>
        <rFont val="Arial"/>
        <family val="2"/>
      </rPr>
      <t>£14,220</t>
    </r>
    <r>
      <rPr>
        <sz val="12"/>
        <rFont val="Arial"/>
        <family val="2"/>
      </rPr>
      <t xml:space="preserve"> + broker fee </t>
    </r>
    <r>
      <rPr>
        <b/>
        <sz val="12"/>
        <rFont val="Arial"/>
        <family val="2"/>
      </rPr>
      <t>£30</t>
    </r>
    <r>
      <rPr>
        <sz val="12"/>
        <rFont val="Arial"/>
        <family val="2"/>
      </rPr>
      <t xml:space="preserve"> + additions etc est</t>
    </r>
    <r>
      <rPr>
        <b/>
        <sz val="12"/>
        <rFont val="Arial"/>
        <family val="2"/>
      </rPr>
      <t xml:space="preserve"> £1000. </t>
    </r>
    <r>
      <rPr>
        <u/>
        <sz val="12"/>
        <rFont val="Arial"/>
        <family val="2"/>
      </rPr>
      <t xml:space="preserve">2019/20 budget increased by 10% to allow for new policy and possible increase. </t>
    </r>
    <r>
      <rPr>
        <sz val="12"/>
        <rFont val="Arial"/>
        <family val="2"/>
      </rPr>
      <t xml:space="preserve">June 2020 Finance reduced budget from £17278 to £14000 based upon historic figures. 2021/22 estimate £15K. Aug Finance - Increase from £15,450 to £17,450 using CF underspend (NC 5087). </t>
    </r>
    <r>
      <rPr>
        <b/>
        <sz val="12"/>
        <color rgb="FFFF0000"/>
        <rFont val="Arial"/>
        <family val="2"/>
      </rPr>
      <t>May 23 - Approved Zurich on 3 year deal (inc fleet) - 23/24 = £12,954.97 + Gallaghers Cyber - 1 year = £857.12</t>
    </r>
    <r>
      <rPr>
        <sz val="12"/>
        <rFont val="Arial"/>
        <family val="2"/>
      </rPr>
      <t xml:space="preserve"> </t>
    </r>
    <r>
      <rPr>
        <b/>
        <sz val="12"/>
        <color rgb="FFFF0000"/>
        <rFont val="Arial"/>
        <family val="2"/>
      </rPr>
      <t>- May 24 cover = £13.8K main + £860 Cyber + estimated additional £2K</t>
    </r>
    <r>
      <rPr>
        <sz val="12"/>
        <rFont val="Arial"/>
        <family val="2"/>
      </rPr>
      <t xml:space="preserve">. </t>
    </r>
    <r>
      <rPr>
        <u/>
        <sz val="12"/>
        <color rgb="FFFF0000"/>
        <rFont val="Arial"/>
        <family val="2"/>
      </rPr>
      <t xml:space="preserve">Nov 25 Council reduce from £17160 to £16.5K but retain higher levels for 26/27 onwards - new contract due 1/6/26 </t>
    </r>
  </si>
  <si>
    <r>
      <t xml:space="preserve">Re Energise management contract approved 11/3/15 @ £21000 p/a 2016 - 2018+ Banner updates est £100 + Road closure £150 + medals/trophies est £350 + other items £500. 20/7/16 Council approved £2K from reserves to be fenced and allocated by council for the event in 2017 + Nov 16 increased it by £250 to cover inflatables + live band. 2018/19 - Nov 16 council approved adding £4K ring fenced from Community grant aid N/C  5074 for 2018 Festival . - (EXCLUDES FESTIVAL FLYERS HELD IN N/C 5015 + Youth element of £1200 held within N/C 5500).  22/5/18 - £100 additional added to cover cricket medals - Chairs advised by email.  July 18 Council approved £21K for 2019 Festival &amp; £4K for Carnival Committee from CD grant funding N/C 5074. Sept 18 council approved £21k for 2020 Festival with £4K ring fenced - budget moved from grant aid N/C 5074. July 19 Council - Approved £21K + £4K for Renergise for the  2020 festival and for the unspent 2019 budget to be re-allocated. </t>
    </r>
    <r>
      <rPr>
        <u/>
        <sz val="11"/>
        <rFont val="Arial"/>
        <family val="2"/>
      </rPr>
      <t>Sept 19 Council agreed Re-energise to have £21K + £4K ring fenced for 2020 - 2022 events inclusive</t>
    </r>
    <r>
      <rPr>
        <sz val="11"/>
        <rFont val="Arial"/>
        <family val="2"/>
      </rPr>
      <t xml:space="preserve">. June 20 Finance approved budget reduction to £8712.50 to cover management fees to point of cancellation. April 2021 - 2021 Community Festival cancelled - management fees frozen at £8,712.50. </t>
    </r>
    <r>
      <rPr>
        <u/>
        <sz val="11"/>
        <rFont val="Arial"/>
        <family val="2"/>
      </rPr>
      <t xml:space="preserve">May 22 - £1800 grant for festival received from Sth Glos - NC 4002 increasing 2022/23 budget from £26.2K to £28K.  </t>
    </r>
    <r>
      <rPr>
        <sz val="11"/>
        <rFont val="Arial"/>
        <family val="2"/>
      </rPr>
      <t xml:space="preserve">July 22 - Approved £21K + £4K rin fenced for community area for 2023 festival. Aug 22 approved decrease from £28K to £26K and move surplus to insurance (NC 5087). March 2023 - Approved £10K for Xmas lights to N/C 9023 o cover purchase and installation of Xmas lights. Pur = £4157.60 + Prepare lamp posts £2400 + storage £216 p/a (12 x £18)+ erect and take down = £1980 p/a. </t>
    </r>
    <r>
      <rPr>
        <b/>
        <sz val="11"/>
        <rFont val="Arial"/>
        <family val="2"/>
      </rPr>
      <t>Sept 23 Council - approved overall £26K budget for 2024 Festival with Renergize as project manager</t>
    </r>
    <r>
      <rPr>
        <sz val="11"/>
        <rFont val="Arial"/>
        <family val="2"/>
      </rPr>
      <t xml:space="preserve">. </t>
    </r>
    <r>
      <rPr>
        <u/>
        <sz val="11"/>
        <rFont val="Arial"/>
        <family val="2"/>
      </rPr>
      <t>Dec 23 Reduce budget to £3.6 from £16,780 and reallocate to  N/C 3012</t>
    </r>
    <r>
      <rPr>
        <sz val="11"/>
        <rFont val="Arial"/>
        <family val="2"/>
      </rPr>
      <t xml:space="preserve">. </t>
    </r>
    <r>
      <rPr>
        <b/>
        <sz val="11"/>
        <color rgb="FFFF0000"/>
        <rFont val="Arial"/>
        <family val="2"/>
      </rPr>
      <t xml:space="preserve">July 24 </t>
    </r>
    <r>
      <rPr>
        <b/>
        <sz val="11"/>
        <rFont val="Arial"/>
        <family val="2"/>
      </rPr>
      <t>- Council advised 24/25/utilised = £21,508 +</t>
    </r>
    <r>
      <rPr>
        <sz val="11"/>
        <color rgb="FFFF0000"/>
        <rFont val="Arial"/>
        <family val="2"/>
      </rPr>
      <t xml:space="preserve"> </t>
    </r>
    <r>
      <rPr>
        <b/>
        <sz val="11"/>
        <color rgb="FFFF0000"/>
        <rFont val="Arial"/>
        <family val="2"/>
      </rPr>
      <t>25/26 budget set at £26K</t>
    </r>
    <r>
      <rPr>
        <sz val="11"/>
        <color rgb="FFFF0000"/>
        <rFont val="Arial"/>
        <family val="2"/>
      </rPr>
      <t xml:space="preserve"> </t>
    </r>
    <r>
      <rPr>
        <b/>
        <sz val="11"/>
        <rFont val="Arial"/>
        <family val="2"/>
      </rPr>
      <t>+ speaker system and staff foods increased to £21873.23</t>
    </r>
    <r>
      <rPr>
        <sz val="11"/>
        <rFont val="Arial"/>
        <family val="2"/>
      </rPr>
      <t xml:space="preserve">. </t>
    </r>
    <r>
      <rPr>
        <u/>
        <sz val="11"/>
        <rFont val="Arial"/>
        <family val="2"/>
      </rPr>
      <t>23/10/24 Finance approved £2K increase for events from N/C 5074</t>
    </r>
    <r>
      <rPr>
        <sz val="11"/>
        <rFont val="Arial"/>
        <family val="2"/>
      </rPr>
      <t xml:space="preserve">. </t>
    </r>
    <r>
      <rPr>
        <b/>
        <sz val="11"/>
        <rFont val="Arial"/>
        <family val="2"/>
      </rPr>
      <t xml:space="preserve"> Jan 25 - £500 MAF Funding from John Bradbury see N/C  4003 for April 25 Tea Party  + £2K 24/25 budget transferred to N/C 5084</t>
    </r>
    <r>
      <rPr>
        <b/>
        <sz val="11"/>
        <color rgb="FFFF0000"/>
        <rFont val="Arial"/>
        <family val="2"/>
      </rPr>
      <t>.Nov 25 reduced budget from £26K to £22K based on actual expenditure. July 25 - Set 2026 Festival Budget @ £26K</t>
    </r>
  </si>
  <si>
    <r>
      <t xml:space="preserve">PPL/PRS - 2020/21 </t>
    </r>
    <r>
      <rPr>
        <b/>
        <sz val="11"/>
        <rFont val="Arial"/>
        <family val="2"/>
      </rPr>
      <t>£450</t>
    </r>
    <r>
      <rPr>
        <sz val="11"/>
        <rFont val="Arial"/>
        <family val="2"/>
      </rPr>
      <t xml:space="preserve">, MPL </t>
    </r>
    <r>
      <rPr>
        <b/>
        <sz val="11"/>
        <rFont val="Arial"/>
        <family val="2"/>
      </rPr>
      <t>£230</t>
    </r>
    <r>
      <rPr>
        <sz val="11"/>
        <rFont val="Arial"/>
        <family val="2"/>
      </rPr>
      <t xml:space="preserve"> + Premises licence </t>
    </r>
    <r>
      <rPr>
        <b/>
        <sz val="11"/>
        <rFont val="Arial"/>
        <family val="2"/>
      </rPr>
      <t>£180,</t>
    </r>
    <r>
      <rPr>
        <sz val="11"/>
        <rFont val="Arial"/>
        <family val="2"/>
      </rPr>
      <t xml:space="preserve"> TV licence = </t>
    </r>
    <r>
      <rPr>
        <b/>
        <sz val="11"/>
        <rFont val="Arial"/>
        <family val="2"/>
      </rPr>
      <t xml:space="preserve">£160, </t>
    </r>
    <r>
      <rPr>
        <sz val="11"/>
        <rFont val="Arial"/>
        <family val="2"/>
      </rPr>
      <t xml:space="preserve">+ 3% + additionals est </t>
    </r>
    <r>
      <rPr>
        <b/>
        <sz val="11"/>
        <rFont val="Arial"/>
        <family val="2"/>
      </rPr>
      <t>£250.</t>
    </r>
    <r>
      <rPr>
        <sz val="11"/>
        <rFont val="Arial"/>
        <family val="2"/>
      </rPr>
      <t xml:space="preserve"> June 2020 Finance Reduced from £1347 to £1300 based on historic figures</t>
    </r>
    <r>
      <rPr>
        <sz val="11"/>
        <color rgb="FFFF0000"/>
        <rFont val="Arial"/>
        <family val="2"/>
      </rPr>
      <t xml:space="preserve">. 2021/22- Actual PPL =£592, MPL = £174 + Premises licence £180, TV licence = £160 =  £1110 - Nov 21 reduce budget from £1.3K to £1110. </t>
    </r>
    <r>
      <rPr>
        <b/>
        <sz val="11"/>
        <color rgb="FFFF0000"/>
        <rFont val="Arial"/>
        <family val="2"/>
      </rPr>
      <t>2022/23 est PPL =£700, MPL = £200 + Premises licence £180, TV licence = £160 =  £1240 +  additionals est £100 = £1340</t>
    </r>
    <r>
      <rPr>
        <sz val="11"/>
        <rFont val="Arial"/>
        <family val="2"/>
      </rPr>
      <t xml:space="preserve">. </t>
    </r>
    <r>
      <rPr>
        <b/>
        <u/>
        <sz val="11"/>
        <color rgb="FFFF0000"/>
        <rFont val="Arial"/>
        <family val="2"/>
      </rPr>
      <t>Nov 25- Increase budget from £1480 to £1800 due to Firework and Festival PPL/PRS</t>
    </r>
  </si>
  <si>
    <r>
      <t xml:space="preserve">Fixed price contract until Oct 2018. Based upon 2016/17 usage = £3500 + 10%  uplift for new contract in Oct 2018 + 5% contingency   (Note LED lighting will positively impact expenditure). New 3 year contract agreed 24/9/18 to run 1/11/18 - 2021 = £5074.67 including office  - Council advised 10/10/18.  June 2020 Finance Reduce from £5074 to £4K based upon historic figures. </t>
    </r>
    <r>
      <rPr>
        <b/>
        <sz val="11"/>
        <rFont val="Arial"/>
        <family val="2"/>
      </rPr>
      <t>Oct 20 budget of £1700 moved from Office NC 5030 as bills not apportioned</t>
    </r>
    <r>
      <rPr>
        <sz val="11"/>
        <rFont val="Arial"/>
        <family val="2"/>
      </rPr>
      <t xml:space="preserve">. </t>
    </r>
    <r>
      <rPr>
        <sz val="11"/>
        <color rgb="FFFF0000"/>
        <rFont val="Arial"/>
        <family val="2"/>
      </rPr>
      <t>Mar 2021 approved a new fixed Total Power &amp; Gas 3 yr fixed price contract 1/11/21 - 30/9/24 est @ £5160.38 p/a.</t>
    </r>
    <r>
      <rPr>
        <sz val="11"/>
        <rFont val="Arial"/>
        <family val="2"/>
      </rPr>
      <t xml:space="preserve"> </t>
    </r>
    <r>
      <rPr>
        <b/>
        <sz val="11"/>
        <color rgb="FFFF3737"/>
        <rFont val="Arial"/>
        <family val="2"/>
      </rPr>
      <t xml:space="preserve">25/10/23 Finance approved British Gas (3 year fixed price 1/10/24 - 30/9/27) @ £12,466.51 p/a includes office. </t>
    </r>
    <r>
      <rPr>
        <b/>
        <sz val="11"/>
        <rFont val="Arial"/>
        <family val="2"/>
      </rPr>
      <t xml:space="preserve">£10K budget approved Nov 23 for 24/25 &amp; 25/26 = £12K - Solar panels will inpact for 26/27 onwards - reduce to £11K </t>
    </r>
  </si>
  <si>
    <r>
      <t xml:space="preserve">BS1 fixed contract intruder, fire, alarm,CCTV + access controls  (fixed 7/6/2021-6/24 agreed 16/6/21) = £945.61  + Dec 20 approved Relyon key hldg contract (1/2/21 - 31/1/22 extended to 31/1/25 at Jan 22  Council - price held and fixed) = £150 + £35 call out + </t>
    </r>
    <r>
      <rPr>
        <b/>
        <sz val="11"/>
        <rFont val="Arial"/>
        <family val="2"/>
      </rPr>
      <t xml:space="preserve">annual fire service est  £250 + fire &amp; security upgrades, call outs &amp; repairs contingency est  £800. </t>
    </r>
    <r>
      <rPr>
        <b/>
        <sz val="11"/>
        <color rgb="FFFF0000"/>
        <rFont val="Arial"/>
        <family val="2"/>
      </rPr>
      <t>May 24 - Finance approved Shield 3 year fixed contract (8/6/24 -7/6/27) alarms £613 p/a + Shutters £220 + CCTV £95 p/a + annual fire servise £300 + estimated repairs £1000</t>
    </r>
    <r>
      <rPr>
        <sz val="11"/>
        <rFont val="Arial"/>
        <family val="2"/>
      </rPr>
      <t xml:space="preserve">. </t>
    </r>
    <r>
      <rPr>
        <sz val="11"/>
        <color rgb="FFFF0000"/>
        <rFont val="Arial"/>
        <family val="2"/>
      </rPr>
      <t xml:space="preserve">Oct Finance approved funding NC 6048 @ £2079.14 from NC 3012 re GSM access control- tfrd 16/12/24.    </t>
    </r>
    <r>
      <rPr>
        <b/>
        <sz val="11"/>
        <color rgb="FFFF0000"/>
        <rFont val="Arial"/>
        <family val="2"/>
      </rPr>
      <t xml:space="preserve">Jan 25 Council approved Relyon key hldg 3 year fixed contract (1/2/25 - 31/1/28) = £125 p/a + £42.50 call out. </t>
    </r>
    <r>
      <rPr>
        <b/>
        <u/>
        <sz val="11"/>
        <color rgb="FFFF0000"/>
        <rFont val="Arial"/>
        <family val="2"/>
      </rPr>
      <t>Nov 25 - budget increased from £2230 to £3000 to cover call outs and additional works</t>
    </r>
  </si>
  <si>
    <r>
      <t>2021/22 Based upon historic usage +</t>
    </r>
    <r>
      <rPr>
        <b/>
        <sz val="11"/>
        <rFont val="Arial"/>
        <family val="2"/>
      </rPr>
      <t xml:space="preserve"> £600</t>
    </r>
    <r>
      <rPr>
        <sz val="11"/>
        <rFont val="Arial"/>
        <family val="2"/>
      </rPr>
      <t xml:space="preserve"> contingency for bowls irrigation etc</t>
    </r>
    <r>
      <rPr>
        <b/>
        <sz val="11"/>
        <rFont val="Arial"/>
        <family val="2"/>
      </rPr>
      <t xml:space="preserve"> </t>
    </r>
    <r>
      <rPr>
        <sz val="11"/>
        <rFont val="Arial"/>
        <family val="2"/>
      </rPr>
      <t xml:space="preserve">. </t>
    </r>
    <r>
      <rPr>
        <sz val="11"/>
        <color rgb="FFFF0000"/>
        <rFont val="Arial"/>
        <family val="2"/>
      </rPr>
      <t xml:space="preserve"> June 2020 Finance Reduced from £2866 Based historic figures</t>
    </r>
    <r>
      <rPr>
        <sz val="11"/>
        <rFont val="Arial"/>
        <family val="2"/>
      </rPr>
      <t xml:space="preserve">. Dec 20 increased to £2600 based upon up to date figures. </t>
    </r>
    <r>
      <rPr>
        <b/>
        <sz val="11"/>
        <color rgb="FFFF0000"/>
        <rFont val="Arial"/>
        <family val="2"/>
      </rPr>
      <t xml:space="preserve">24/25 Water leak on Bowls Green - investigated and repaired- Await year end position and fund from  8046 - Nov 25 increase budget from £3K to £4K </t>
    </r>
  </si>
  <si>
    <r>
      <t>BS1 fixed -intruder, fire, alarm,CCTV + access controls (fixed 7/6/2021-6/24 agreed 16/6/21) = £1141.19 + Dec 20 approved Relyon key hldg contract (1/2/21 - 31/1/22 extended to 31/1/25 at Jan 22  Council - price held and fixed) = £150 + £35 call out + annual fire service est  £250 + fire &amp; security upgrades, call outs &amp; repairs contingency est  £800.24/25 -</t>
    </r>
    <r>
      <rPr>
        <b/>
        <sz val="11"/>
        <color rgb="FFFF0000"/>
        <rFont val="Arial"/>
        <family val="2"/>
      </rPr>
      <t xml:space="preserve"> May 24 Finance approved Shield 3 year fixed contract (8/6/24 -7/6/27) alarms £663 p/a + Shutters £220 + CCTV £95 p/a + annual fire service £250 + £3K repairs/call outs. </t>
    </r>
    <r>
      <rPr>
        <sz val="11"/>
        <color theme="1"/>
        <rFont val="Arial"/>
        <family val="2"/>
      </rPr>
      <t>Oct Finance approved funding NC 7048 @ £2079.14 from NC 3012 re GSM access control- tfrd 16/12/24</t>
    </r>
    <r>
      <rPr>
        <sz val="11"/>
        <color rgb="FFFF0000"/>
        <rFont val="Arial"/>
        <family val="2"/>
      </rPr>
      <t xml:space="preserve">.  </t>
    </r>
    <r>
      <rPr>
        <b/>
        <sz val="11"/>
        <color rgb="FFFF0000"/>
        <rFont val="Arial"/>
        <family val="2"/>
      </rPr>
      <t xml:space="preserve">Jan 25 Council approved Relyon key hldg 3 year fixed contract (1/2/25 - 31/1/28) = £125 p/a + £42.50 call out. Nov 25 reduce 24/25 budget from £5.6K to £4K &amp; 26/27 from £5.6K to £4.5K             </t>
    </r>
    <r>
      <rPr>
        <sz val="11"/>
        <color rgb="FFFF0000"/>
        <rFont val="Arial"/>
        <family val="2"/>
      </rPr>
      <t xml:space="preserve">                                                                            </t>
    </r>
  </si>
  <si>
    <r>
      <t xml:space="preserve">Nominal budget. 15/12/17 insurance settlement for stolen tools recd see N/C 4003. March 18 Council approved steam cleaner purchase @ £3750 funded from year end contingent reserve if required. Feb 24 Council approved - Vehicle camera lights and tracker est up to - £3293 from N/C 3023 to be paid back at 2023/24 year end but delayed to 2024/25 + quote received in region of £1600 - increase budget from £1500 to £3100. </t>
    </r>
    <r>
      <rPr>
        <b/>
        <sz val="12"/>
        <color rgb="FFFF0000"/>
        <rFont val="Arial"/>
        <family val="2"/>
      </rPr>
      <t>Nov 25 Increase 25/26 budget  from £1500 to £2100 based upon 25/26 usage.</t>
    </r>
  </si>
  <si>
    <t xml:space="preserve"> Projected Budget 2029/30</t>
  </si>
  <si>
    <t>Public Open Space - Land Purchase</t>
  </si>
  <si>
    <r>
      <t>BS1 fixed intruder, fire, alarm,CCTV + access controls (fixed 7/6/2021-6/24 agreed 16/6/21) = £1050.46 + annual fire service est £250 + Dec 20 approved Relyon key hldg contract (1/2/21 - 31/1/22 extended to 31/1/25 at Jan 22  Council - price held and fixed) = £150 + £35 call out +  fire &amp; security upgrade, call outs + repairs etc est £800 p/a.</t>
    </r>
    <r>
      <rPr>
        <b/>
        <sz val="11"/>
        <color rgb="FFFF0000"/>
        <rFont val="Arial"/>
        <family val="2"/>
      </rPr>
      <t xml:space="preserve">  24/25 - May 24 Finance approved Shield 3 year fixed contract (8/6/24 -7/6/27) alarms £563 p/a + Shutters £220 + CCTV £55 p/a + annual fire service £250 +  £1.2K call out/repairs. </t>
    </r>
    <r>
      <rPr>
        <sz val="11"/>
        <color rgb="FFFF0000"/>
        <rFont val="Arial"/>
        <family val="2"/>
      </rPr>
      <t xml:space="preserve">Oct Finance approved funding NC 7048 @ £2079.14 from NC 3012 re GSM access control- tfrd 16/12/24. </t>
    </r>
    <r>
      <rPr>
        <b/>
        <sz val="11"/>
        <color rgb="FFFF0000"/>
        <rFont val="Arial"/>
        <family val="2"/>
      </rPr>
      <t>Jan 25 Council approved Relyon key hldg 3 year fixed contract (1/2/25 - 31/1/28) = £125 p/a + £42.50 call out.</t>
    </r>
    <r>
      <rPr>
        <sz val="11"/>
        <color rgb="FFFF0000"/>
        <rFont val="Arial"/>
        <family val="2"/>
      </rPr>
      <t xml:space="preserve"> Nov 25 Finance approved approved fire detect + alarm upgrades @ £1633.64          </t>
    </r>
    <r>
      <rPr>
        <b/>
        <sz val="11"/>
        <color rgb="FFFF0000"/>
        <rFont val="Arial"/>
        <family val="2"/>
      </rPr>
      <t xml:space="preserve"> </t>
    </r>
    <r>
      <rPr>
        <b/>
        <sz val="11"/>
        <rFont val="Arial"/>
        <family val="2"/>
      </rPr>
      <t xml:space="preserve"> </t>
    </r>
    <r>
      <rPr>
        <sz val="11"/>
        <rFont val="Arial"/>
        <family val="2"/>
      </rPr>
      <t xml:space="preserve">                                                                  </t>
    </r>
  </si>
  <si>
    <r>
      <t>Ambience 3 Yr fixed price contract (1/4/19 - 31/3/22)= £8755 p/a approved 17/4/19 (+ inc 43 outfield cuts March - Oct annually) +</t>
    </r>
    <r>
      <rPr>
        <u/>
        <sz val="11"/>
        <rFont val="Arial"/>
        <family val="2"/>
      </rPr>
      <t xml:space="preserve"> </t>
    </r>
    <r>
      <rPr>
        <sz val="11"/>
        <rFont val="Arial"/>
        <family val="2"/>
      </rPr>
      <t xml:space="preserve">Avon Sportsground bowls maintenance 3 yr contract 1/11/19 - 31/10/22 = £5022 (approved Nov 19) + materials for bowls green  estimate £3340 (based upon usage expenditure April 19 - March 20 + 3%) +  additional grass pitch + other repairs inc car park area etc est = £4,000. May 2020 approved Wooden posts @ £3557. June 2020 Finance Reduced from £30766 to £29500 Based historic figures.  Nov 20 approved £2100 to level slabs around manhole cover H&amp;S. 10/3/21 Approved 5 year wicket maintenance contract with cricket club @ £8950 p/a(inc materials etc) reviewed every October (1/4/21 - 31/3/26) over 43 weeks x 18 hrs p/w p/a = £148.83 p/w or £8.26 p/h. June 21 - Budget increased to £31.6K to cover late accrued payments from Feb &amp; March 21. </t>
    </r>
    <r>
      <rPr>
        <b/>
        <sz val="11"/>
        <rFont val="Arial"/>
        <family val="2"/>
      </rPr>
      <t>March 22 approved Prestige for ground maintenance 1/4/22 - 31/3/23 = £8653</t>
    </r>
    <r>
      <rPr>
        <sz val="11"/>
        <rFont val="Arial"/>
        <family val="2"/>
      </rPr>
      <t xml:space="preserve">. </t>
    </r>
    <r>
      <rPr>
        <b/>
        <sz val="11"/>
        <rFont val="Arial"/>
        <family val="2"/>
      </rPr>
      <t>Aug 22 Avon Sportsground approved 3 year fixed price (1/11/22 - 31/10/25) @ £16,194 + materials est £3400</t>
    </r>
    <r>
      <rPr>
        <sz val="11"/>
        <rFont val="Arial"/>
        <family val="2"/>
      </rPr>
      <t xml:space="preserve">. Nov 22 approved 2023/24 budget - Ground Maintenance contract ends 31/3/23 23 - The current annual contract is £8,653. Increase by 10% in view of CPI &amp; high fuel costs = £9,520 p/a + bowls maintenance (fixed 1/11/22 – 31/10/25) = £5,398 + materials estimated £3.4K + cricket wicket maintenance = £8,950 (fixed price 1/4/21 – 31/3/26) + estimated £5.5K for additional, trees, grounds works and equipment repairs. </t>
    </r>
    <r>
      <rPr>
        <b/>
        <sz val="11"/>
        <color rgb="FFFF3737"/>
        <rFont val="Arial"/>
        <family val="2"/>
      </rPr>
      <t xml:space="preserve">March 23 - Prestige approved on 3 yr NON FIXED PRICE - £1585 p/a for 23/24 + add est 3% p/a after. 2023/24 - £32,170 approved June 23 Finance. June 25 council approved £6645.80 for BC carpark/play area footpath. </t>
    </r>
    <r>
      <rPr>
        <b/>
        <sz val="12"/>
        <color rgb="FFFF3737"/>
        <rFont val="Arial"/>
        <family val="2"/>
      </rPr>
      <t>Nov 25 finance approved uplifty of Bowls Maintenence by £1.7K to £7.2K - increase budget by £1.7k p/a</t>
    </r>
    <r>
      <rPr>
        <b/>
        <sz val="12"/>
        <color rgb="FFFF0000"/>
        <rFont val="Arial"/>
        <family val="2"/>
      </rPr>
      <t xml:space="preserve"> (26/27 by £700 &amp; 26/27 by £1.7K)</t>
    </r>
  </si>
  <si>
    <r>
      <rPr>
        <sz val="11"/>
        <rFont val="Arial"/>
        <family val="2"/>
      </rPr>
      <t>Aug 19 Finance - Agreed 3 Pickle Ball courts on 1 tennis court @ £900 (3 X £300 per court) from N/C 3089. JC Shipping Container approved March 2024 - No budget allocated but absorbed into 23/24 from year end.</t>
    </r>
    <r>
      <rPr>
        <sz val="11"/>
        <color theme="1"/>
        <rFont val="Arial"/>
        <family val="2"/>
      </rPr>
      <t xml:space="preserve"> </t>
    </r>
    <r>
      <rPr>
        <b/>
        <sz val="11"/>
        <color theme="1"/>
        <rFont val="Arial"/>
        <family val="2"/>
      </rPr>
      <t>April 24  Council approved £1855 to insulate shipping container .May 24 - Finance approved 23/24 CIL Funding of of £8311.45 to cover external kitchen conversion near hard courts</t>
    </r>
    <r>
      <rPr>
        <sz val="11"/>
        <color theme="1"/>
        <rFont val="Arial"/>
        <family val="2"/>
      </rPr>
      <t xml:space="preserve"> </t>
    </r>
    <r>
      <rPr>
        <b/>
        <sz val="11"/>
        <color theme="1"/>
        <rFont val="Arial"/>
        <family val="2"/>
      </rPr>
      <t>paid to N/C 4003</t>
    </r>
    <r>
      <rPr>
        <sz val="11"/>
        <color theme="1"/>
        <rFont val="Arial"/>
        <family val="2"/>
      </rPr>
      <t>.</t>
    </r>
    <r>
      <rPr>
        <b/>
        <sz val="11"/>
        <color rgb="FFFF0000"/>
        <rFont val="Arial"/>
        <family val="2"/>
      </rPr>
      <t xml:space="preserve"> Nov 25 Finance approved £6150 to repair  JC bridge to School (School to pay 50%) funded by 3012</t>
    </r>
  </si>
  <si>
    <r>
      <rPr>
        <sz val="11"/>
        <rFont val="Arial"/>
        <family val="2"/>
      </rPr>
      <t xml:space="preserve">13/3/19 council approved £15,995 quote to replace Beacon Play area equipment from N/C 3016 + up to £15K for metal community shelter, base and paths from N/C 5074 reserved to N/C 3070 at year end - </t>
    </r>
    <r>
      <rPr>
        <b/>
        <sz val="11"/>
        <rFont val="Arial"/>
        <family val="2"/>
      </rPr>
      <t xml:space="preserve">Friends of Jubilee Green donated a payment of £1,587.15 towards Beacon Community Shelter see N/C 4002 - </t>
    </r>
    <r>
      <rPr>
        <sz val="11"/>
        <color rgb="FFFF3737"/>
        <rFont val="Arial"/>
        <family val="2"/>
      </rPr>
      <t xml:space="preserve">£8050 tfrd from NC 3070. </t>
    </r>
    <r>
      <rPr>
        <b/>
        <sz val="11"/>
        <color rgb="FFFF3737"/>
        <rFont val="Arial"/>
        <family val="2"/>
      </rPr>
      <t>Aug 19 Finance - approved holding £6300 towards purchase of leisure equipment N/C 3070.</t>
    </r>
    <r>
      <rPr>
        <sz val="11"/>
        <color rgb="FFFF3737"/>
        <rFont val="Arial"/>
        <family val="2"/>
      </rPr>
      <t xml:space="preserve"> </t>
    </r>
    <r>
      <rPr>
        <b/>
        <sz val="11"/>
        <rFont val="Arial"/>
        <family val="2"/>
      </rPr>
      <t>March 22 approved holding £2K for pond development - see NC 3070</t>
    </r>
    <r>
      <rPr>
        <sz val="11"/>
        <color rgb="FFFF3737"/>
        <rFont val="Arial"/>
        <family val="2"/>
      </rPr>
      <t xml:space="preserve">. </t>
    </r>
    <r>
      <rPr>
        <sz val="11"/>
        <color rgb="FFFF0000"/>
        <rFont val="Arial"/>
        <family val="2"/>
      </rPr>
      <t>Oct 22 - £900 tfrd from NC 3070 re BART Mgt plan for Davis Pond</t>
    </r>
    <r>
      <rPr>
        <sz val="11"/>
        <color rgb="FFFF3737"/>
        <rFont val="Arial"/>
        <family val="2"/>
      </rPr>
      <t>. Nov 22- £1595 due from NC 3070 for further works.</t>
    </r>
    <r>
      <rPr>
        <b/>
        <sz val="11"/>
        <color rgb="FFFF3737"/>
        <rFont val="Arial"/>
        <family val="2"/>
      </rPr>
      <t xml:space="preserve"> Sep 23 - Finance approved moving £62,104.18 to Leisure equipment following reduction of BW storage project increasing to £101,379.44</t>
    </r>
    <r>
      <rPr>
        <sz val="11"/>
        <color rgb="FFFF3737"/>
        <rFont val="Arial"/>
        <family val="2"/>
      </rPr>
      <t xml:space="preserve">. Jan 24 Council approved Kompan for Leisure Equipment @ £80,293.20 (exc planning processed by office). </t>
    </r>
    <r>
      <rPr>
        <b/>
        <sz val="11"/>
        <rFont val="Arial"/>
        <family val="2"/>
      </rPr>
      <t>31/3/24 - £1860 tfrd from 3070 re Davis pond - l</t>
    </r>
    <r>
      <rPr>
        <sz val="11"/>
        <rFont val="Arial"/>
        <family val="2"/>
      </rPr>
      <t>eaves £495 accrued for spring 25 works</t>
    </r>
    <r>
      <rPr>
        <b/>
        <sz val="11"/>
        <rFont val="Arial"/>
        <family val="2"/>
      </rPr>
      <t>.+ £320.16 tfrd re Leisure equipment</t>
    </r>
    <r>
      <rPr>
        <sz val="11"/>
        <color rgb="FFFF3737"/>
        <rFont val="Arial"/>
        <family val="2"/>
      </rPr>
      <t xml:space="preserve"> .</t>
    </r>
    <r>
      <rPr>
        <b/>
        <sz val="11"/>
        <color rgb="FF00B050"/>
        <rFont val="Arial"/>
        <family val="2"/>
      </rPr>
      <t xml:space="preserve">Note additional . Oct 23 - </t>
    </r>
    <r>
      <rPr>
        <b/>
        <u/>
        <sz val="11"/>
        <color rgb="FF00B050"/>
        <rFont val="Arial"/>
        <family val="2"/>
      </rPr>
      <t>S106 Capital funding has been confirmed and claimed for the fitness equipoment = £10,975.15  received 2/1/25</t>
    </r>
    <r>
      <rPr>
        <b/>
        <sz val="11"/>
        <color rgb="FF00B050"/>
        <rFont val="Arial"/>
        <family val="2"/>
      </rPr>
      <t xml:space="preserve"> -  increasing project budget to £133,354.59 + r</t>
    </r>
    <r>
      <rPr>
        <b/>
        <u/>
        <sz val="11"/>
        <color rgb="FF00B050"/>
        <rFont val="Arial"/>
        <family val="2"/>
      </rPr>
      <t>evenue funding of £11,540.45 O/S (N/C 4002/3070)</t>
    </r>
    <r>
      <rPr>
        <u/>
        <sz val="11"/>
        <color rgb="FFFF3737"/>
        <rFont val="Arial"/>
        <family val="2"/>
      </rPr>
      <t>.</t>
    </r>
    <r>
      <rPr>
        <sz val="11"/>
        <color rgb="FFFF3737"/>
        <rFont val="Arial"/>
        <family val="2"/>
      </rPr>
      <t xml:space="preserve"> </t>
    </r>
    <r>
      <rPr>
        <b/>
        <sz val="11"/>
        <color rgb="FFFF0000"/>
        <rFont val="Arial"/>
        <family val="2"/>
      </rPr>
      <t>Jan 24 Council approved Kompan quote for Leisure Equipment @ £80,293.20 see N/C 3070 (budget = £101379.44 - 15215 = £86167.44) moved to Beacon Play area approved Sept Council 24)</t>
    </r>
    <r>
      <rPr>
        <sz val="11"/>
        <color rgb="FFFF3737"/>
        <rFont val="Arial"/>
        <family val="2"/>
      </rPr>
      <t>.</t>
    </r>
    <r>
      <rPr>
        <u/>
        <sz val="11"/>
        <color rgb="FFFF3737"/>
        <rFont val="Arial"/>
        <family val="2"/>
      </rPr>
      <t>Feb 25 - £1120 added re bin and bench for fitness area donated by installer - Reversed N/C 4002</t>
    </r>
    <r>
      <rPr>
        <sz val="11"/>
        <color rgb="FFFF3737"/>
        <rFont val="Arial"/>
        <family val="2"/>
      </rPr>
      <t>.</t>
    </r>
    <r>
      <rPr>
        <b/>
        <sz val="11"/>
        <color rgb="FFFF3737"/>
        <rFont val="Arial"/>
        <family val="2"/>
      </rPr>
      <t xml:space="preserve"> 11/2/25 - Tfrd £66,687.33 from N/C 3070</t>
    </r>
    <r>
      <rPr>
        <sz val="11"/>
        <color rgb="FFFF3737"/>
        <rFont val="Arial"/>
        <family val="2"/>
      </rPr>
      <t xml:space="preserve">. April 25 - Increase budget from £495 to £900 for Davis Pond additional final works in N/C 3070 (Clerks Remit). </t>
    </r>
    <r>
      <rPr>
        <b/>
        <sz val="11"/>
        <color rgb="FFFF3737"/>
        <rFont val="Arial"/>
        <family val="2"/>
      </rPr>
      <t>Sept 25 £900 tfrd from NC 3070 re Davis Pond</t>
    </r>
    <r>
      <rPr>
        <sz val="11"/>
        <color rgb="FFFF3737"/>
        <rFont val="Arial"/>
        <family val="2"/>
      </rPr>
      <t xml:space="preserve"> </t>
    </r>
    <r>
      <rPr>
        <b/>
        <sz val="11"/>
        <color rgb="FFFF3737"/>
        <rFont val="Arial"/>
        <family val="2"/>
      </rPr>
      <t>+ £726 surplus trfrd from NC 9020</t>
    </r>
    <r>
      <rPr>
        <sz val="11"/>
        <color rgb="FFFF3737"/>
        <rFont val="Arial"/>
        <family val="2"/>
      </rPr>
      <t xml:space="preserve"> </t>
    </r>
    <r>
      <rPr>
        <b/>
        <sz val="11"/>
        <color rgb="FFFF3737"/>
        <rFont val="Arial"/>
        <family val="2"/>
      </rPr>
      <t>+ £684 from NC 3016</t>
    </r>
    <r>
      <rPr>
        <sz val="11"/>
        <color rgb="FFFF3737"/>
        <rFont val="Arial"/>
        <family val="2"/>
      </rPr>
      <t xml:space="preserve">. </t>
    </r>
    <r>
      <rPr>
        <u/>
        <sz val="11"/>
        <color rgb="FFFF3737"/>
        <rFont val="Arial"/>
        <family val="2"/>
      </rPr>
      <t>Oct 25 -  £150 tfrd from  NC3001  to cover training on  Leisure Equipment</t>
    </r>
    <r>
      <rPr>
        <sz val="11"/>
        <color rgb="FFFF3737"/>
        <rFont val="Arial"/>
        <family val="2"/>
      </rPr>
      <t>.</t>
    </r>
    <r>
      <rPr>
        <b/>
        <sz val="11"/>
        <color rgb="FFFF3737"/>
        <rFont val="Arial"/>
        <family val="2"/>
      </rPr>
      <t xml:space="preserve"> 17/12/25-£248.05 tfrd from N/C 3001</t>
    </r>
  </si>
  <si>
    <r>
      <t xml:space="preserve">S106 grant for Revenue Funding re Leisure Equipment on village green see N/C 4002 - </t>
    </r>
    <r>
      <rPr>
        <b/>
        <u/>
        <sz val="11"/>
        <rFont val="Arial"/>
        <family val="2"/>
      </rPr>
      <t>Exp Against NC 9038</t>
    </r>
    <r>
      <rPr>
        <b/>
        <sz val="11"/>
        <rFont val="Arial"/>
        <family val="2"/>
      </rPr>
      <t xml:space="preserve">. </t>
    </r>
    <r>
      <rPr>
        <b/>
        <sz val="11"/>
        <color rgb="FFC00000"/>
        <rFont val="Arial"/>
        <family val="2"/>
      </rPr>
      <t>£150 tfrd to NC 9038.</t>
    </r>
    <r>
      <rPr>
        <b/>
        <sz val="11"/>
        <rFont val="Arial"/>
        <family val="2"/>
      </rPr>
      <t xml:space="preserve"> </t>
    </r>
    <r>
      <rPr>
        <b/>
        <sz val="11"/>
        <color rgb="FFC00000"/>
        <rFont val="Arial"/>
        <family val="2"/>
      </rPr>
      <t>17/12/25 - £248.05 tfrd to N/C 9038</t>
    </r>
  </si>
  <si>
    <t xml:space="preserve">S106- Leisure Equipment Revenue Funding </t>
  </si>
  <si>
    <r>
      <t xml:space="preserve">Friends of Jubilee Green donated a payment of £1,587.15 towards Beacon Community Shelter see N/C 9038. September 2020 - STH Glos Grant for loss of site income = £6250 + Nov 20 - BW Local Restrictions Support Grant agreed at £1334. Dec 20 approved £2K for JC &amp; £2K for BC. 24/12/20 £1K  paid each for JC &amp; BC = £667 for BW. 18/1/21 £1K  paid each for JC &amp; BC = £667 for BW. 29/1/21 - LRSG &amp; Top Up awarded JC = £9000 BC = £9000 &amp; BW = £6001. 1/3/21 - LRSG for Office = £1400 + 22/3/21 - LRSG grant aid for 3 sites = £8382. </t>
    </r>
    <r>
      <rPr>
        <b/>
        <sz val="12"/>
        <color theme="1"/>
        <rFont val="Arial"/>
        <family val="2"/>
      </rPr>
      <t xml:space="preserve">2021/22 - Grant funding of £30K + £14195 - £3K approved for BC play area - see NC 3016 + NC 9020. </t>
    </r>
    <r>
      <rPr>
        <sz val="12"/>
        <color theme="1"/>
        <rFont val="Arial"/>
        <family val="2"/>
      </rPr>
      <t xml:space="preserve">June 21 £1500 Covid discretionary grant awarded. </t>
    </r>
    <r>
      <rPr>
        <b/>
        <sz val="12"/>
        <color theme="1"/>
        <rFont val="Arial"/>
        <family val="2"/>
      </rPr>
      <t>24/8/21 Final discretionary start up Grant received - £10K. March 22 - £1800 Sth glos Jubilee Grant towards 2022 Festival - NC 5087 + £44195 grant for BC Play area moved to 2022/23. 2021/22 budget reduced from £55695 to £11500</t>
    </r>
    <r>
      <rPr>
        <sz val="12"/>
        <color theme="1"/>
        <rFont val="Arial"/>
        <family val="2"/>
      </rPr>
      <t xml:space="preserve">. </t>
    </r>
    <r>
      <rPr>
        <b/>
        <sz val="12"/>
        <color theme="1"/>
        <rFont val="Arial"/>
        <family val="2"/>
      </rPr>
      <t xml:space="preserve">April 22 - £500 Brightside Covid Experience funding grant funding - See NC5038 </t>
    </r>
    <r>
      <rPr>
        <sz val="12"/>
        <color theme="1"/>
        <rFont val="Arial"/>
        <family val="2"/>
      </rPr>
      <t xml:space="preserve">. </t>
    </r>
    <r>
      <rPr>
        <u/>
        <sz val="12"/>
        <color theme="1"/>
        <rFont val="Arial"/>
        <family val="2"/>
      </rPr>
      <t>Nov 22 £1500 Warm Space grant aid received for 3 sites (£500 each) see N/C 5074</t>
    </r>
    <r>
      <rPr>
        <sz val="12"/>
        <color theme="1"/>
        <rFont val="Arial"/>
        <family val="2"/>
      </rPr>
      <t xml:space="preserve">. </t>
    </r>
    <r>
      <rPr>
        <b/>
        <sz val="12"/>
        <color theme="1"/>
        <rFont val="Arial"/>
        <family val="2"/>
      </rPr>
      <t xml:space="preserve"> </t>
    </r>
    <r>
      <rPr>
        <sz val="12"/>
        <color theme="1"/>
        <rFont val="Arial"/>
        <family val="2"/>
      </rPr>
      <t xml:space="preserve"> </t>
    </r>
    <r>
      <rPr>
        <b/>
        <sz val="12"/>
        <color theme="1"/>
        <rFont val="Arial"/>
        <family val="2"/>
      </rPr>
      <t>October 23 Finance - noted £1K funding from travel Grant towards secure cycle container at JC(N/C 4002/9022/3019)</t>
    </r>
    <r>
      <rPr>
        <sz val="12"/>
        <color theme="1"/>
        <rFont val="Arial"/>
        <family val="2"/>
      </rPr>
      <t xml:space="preserve">. </t>
    </r>
    <r>
      <rPr>
        <b/>
        <u/>
        <sz val="12"/>
        <color theme="1"/>
        <rFont val="Arial"/>
        <family val="2"/>
      </rPr>
      <t>25.10.23 -</t>
    </r>
    <r>
      <rPr>
        <sz val="12"/>
        <color theme="1"/>
        <rFont val="Arial"/>
        <family val="2"/>
      </rPr>
      <t xml:space="preserve"> </t>
    </r>
    <r>
      <rPr>
        <b/>
        <u/>
        <sz val="12"/>
        <color theme="1"/>
        <rFont val="Arial"/>
        <family val="2"/>
      </rPr>
      <t>£6.5K Warm Spaces funding awarded from Sth Glos see also N/C 5080</t>
    </r>
    <r>
      <rPr>
        <sz val="12"/>
        <color theme="1"/>
        <rFont val="Arial"/>
        <family val="2"/>
      </rPr>
      <t>.</t>
    </r>
    <r>
      <rPr>
        <b/>
        <sz val="12"/>
        <color theme="1"/>
        <rFont val="Arial"/>
        <family val="2"/>
      </rPr>
      <t xml:space="preserve"> 10/10/24 - SGC Warm Spaces grant - JC &amp; BC = £2.5k per site + BW = £2K = £7K  </t>
    </r>
    <r>
      <rPr>
        <b/>
        <u/>
        <sz val="12"/>
        <color rgb="FF008E40"/>
        <rFont val="Arial"/>
        <family val="2"/>
      </rPr>
      <t xml:space="preserve">October 23 S106 funding approved -  £10975.15 cap (payment received 2/1/25 - see N/C 9038)) &amp; £11,540.45 revenue (O/S N/C 3001)  for Fitness equipment (N/C 3001/3070/9038) </t>
    </r>
    <r>
      <rPr>
        <u/>
        <sz val="12"/>
        <color rgb="FF008E40"/>
        <rFont val="Arial"/>
        <family val="2"/>
      </rPr>
      <t>(</t>
    </r>
    <r>
      <rPr>
        <sz val="12"/>
        <color rgb="FF008E40"/>
        <rFont val="Arial"/>
        <family val="2"/>
      </rPr>
      <t>+ £35,935.95 cap and £10,876.58 revenue for MUGA (N/C 3022/- Not claimed at this stage or included in budget).</t>
    </r>
    <r>
      <rPr>
        <sz val="12"/>
        <color theme="1"/>
        <rFont val="Arial"/>
        <family val="2"/>
      </rPr>
      <t xml:space="preserve"> </t>
    </r>
    <r>
      <rPr>
        <b/>
        <sz val="12"/>
        <color rgb="FFFF3737"/>
        <rFont val="Arial"/>
        <family val="2"/>
      </rPr>
      <t>April 25 - £20K Lottery funding received for solar panels - see N/C 3082</t>
    </r>
    <r>
      <rPr>
        <sz val="12"/>
        <color theme="1"/>
        <rFont val="Arial"/>
        <family val="2"/>
      </rPr>
      <t>.</t>
    </r>
    <r>
      <rPr>
        <b/>
        <u/>
        <sz val="12"/>
        <color rgb="FFFF0000"/>
        <rFont val="Arial"/>
        <family val="2"/>
      </rPr>
      <t xml:space="preserve"> 22/8/25 Warm Space funding awarded for JC &amp; BC = £6K (50/50) - See 5080</t>
    </r>
    <r>
      <rPr>
        <sz val="12"/>
        <color theme="1"/>
        <rFont val="Arial"/>
        <family val="2"/>
      </rPr>
      <t xml:space="preserve">. </t>
    </r>
    <r>
      <rPr>
        <sz val="12"/>
        <color rgb="FFC00000"/>
        <rFont val="Arial"/>
        <family val="2"/>
      </rPr>
      <t>July 25 - £9780 Stronger together Community Grant for Orchard received Aug 25 - See N/C 5078</t>
    </r>
    <r>
      <rPr>
        <sz val="12"/>
        <color theme="1"/>
        <rFont val="Arial"/>
        <family val="2"/>
      </rPr>
      <t xml:space="preserve">. </t>
    </r>
    <r>
      <rPr>
        <b/>
        <sz val="12"/>
        <color rgb="FFC00000"/>
        <rFont val="Arial"/>
        <family val="2"/>
      </rPr>
      <t>Dec 25 - £2K for JC and £2K for BC Community Welcome Spaces Grant funding approved  to N/C 5084</t>
    </r>
  </si>
  <si>
    <r>
      <t xml:space="preserve"> Nov 16 reduced to part fund BC Kitchen and JC/BC Ecoustic boards. 31/3/17 - £5000 tfrd. April 18 Finance approved £90K reserve at 17/18 year end. Sept 2020 approved look at quotes for new BC roof est £64K - Nov 20 agreed not required as repairs had worked. Nov 20 approved £100K maximum for BW Storage to be repaid from additional year end surplus and/or PWLB loan to be decided in 2021/22 - SEE NC 9036.</t>
    </r>
    <r>
      <rPr>
        <b/>
        <u/>
        <sz val="11"/>
        <rFont val="Arial"/>
        <family val="2"/>
      </rPr>
      <t xml:space="preserve"> April 21 Finance approved increase from £110K to £128K from year end surplus. March 22 - Year end adjustment re 2022/23 reserves adj £128K to £133K. </t>
    </r>
    <r>
      <rPr>
        <b/>
        <sz val="11"/>
        <rFont val="Arial"/>
        <family val="2"/>
      </rPr>
      <t>May 22 - 21/22 year end reserve increased to £150K</t>
    </r>
    <r>
      <rPr>
        <sz val="11"/>
        <rFont val="Arial"/>
        <family val="2"/>
      </rPr>
      <t xml:space="preserve">. Sept 22 Council approved max budget of £13.5K for 2 awnings @ JC for LY&amp;A to agree. 17/10/22 LY&amp;A agreed 2 awnings @ £5,684.99 from N/C 9025. </t>
    </r>
    <r>
      <rPr>
        <b/>
        <sz val="11"/>
        <rFont val="Arial"/>
        <family val="2"/>
      </rPr>
      <t>Nov 22 agreed by emails uplift to £7.5K for awnings to NC 9025 reported at Feb 23 Finance/LY&amp;A</t>
    </r>
    <r>
      <rPr>
        <sz val="11"/>
        <rFont val="Arial"/>
        <family val="2"/>
      </rPr>
      <t xml:space="preserve">. Nov 22 - tfr £2275 to NC 9036 re BW planning. </t>
    </r>
    <r>
      <rPr>
        <b/>
        <sz val="11"/>
        <rFont val="Arial"/>
        <family val="2"/>
      </rPr>
      <t>Jan 23 agreed max £40K for CCTV at all sites to repay at year end see NC 9044</t>
    </r>
    <r>
      <rPr>
        <sz val="11"/>
        <rFont val="Arial"/>
        <family val="2"/>
      </rPr>
      <t xml:space="preserve">. </t>
    </r>
    <r>
      <rPr>
        <u/>
        <sz val="11"/>
        <rFont val="Arial"/>
        <family val="2"/>
      </rPr>
      <t>22/3/23 - Finance approved £32.3K  for replacement CCTV cameras to NC 9044 funded from year end surplus</t>
    </r>
    <r>
      <rPr>
        <sz val="11"/>
        <rFont val="Arial"/>
        <family val="2"/>
      </rPr>
      <t xml:space="preserve">. </t>
    </r>
    <r>
      <rPr>
        <b/>
        <sz val="11"/>
        <rFont val="Arial"/>
        <family val="2"/>
      </rPr>
      <t>June 23 - approved restoring budget to £150K</t>
    </r>
    <r>
      <rPr>
        <sz val="11"/>
        <rFont val="Arial"/>
        <family val="2"/>
      </rPr>
      <t xml:space="preserve">. </t>
    </r>
    <r>
      <rPr>
        <b/>
        <sz val="11"/>
        <rFont val="Arial"/>
        <family val="2"/>
      </rPr>
      <t>July 23 Finance approved Cherry Room kitchen @ £7909.80 + Elm Room kitchen @ £8332.03 = £16,241.83 to N/C 9037</t>
    </r>
    <r>
      <rPr>
        <sz val="11"/>
        <rFont val="Arial"/>
        <family val="2"/>
      </rPr>
      <t xml:space="preserve">. Aug 23 £5815.44 tfrd to N/C 9037 re kitchen deposits  reduce from £150K to £144,184.56. </t>
    </r>
    <r>
      <rPr>
        <b/>
        <sz val="11"/>
        <rFont val="Arial"/>
        <family val="2"/>
      </rPr>
      <t>Dec 23 - £11,100.43 tfrd to NC 9037 re Elm + Cherry kitchens + £13,180 tfrd from Community events N/C 5087 &amp; £1180 from fireworks N/C 5085 to reimburse reserve</t>
    </r>
    <r>
      <rPr>
        <sz val="11"/>
        <rFont val="Arial"/>
        <family val="2"/>
      </rPr>
      <t xml:space="preserve">. </t>
    </r>
    <r>
      <rPr>
        <b/>
        <sz val="11"/>
        <rFont val="Arial"/>
        <family val="2"/>
      </rPr>
      <t>Dec 23 approved restoring budget to £150K for 24/25</t>
    </r>
    <r>
      <rPr>
        <sz val="11"/>
        <rFont val="Arial"/>
        <family val="2"/>
      </rPr>
      <t>.</t>
    </r>
    <r>
      <rPr>
        <b/>
        <sz val="11"/>
        <rFont val="Arial"/>
        <family val="2"/>
      </rPr>
      <t xml:space="preserve"> Feb 24 Council approved £17526 to repair roof to N/C 8041 &amp; repay at 2023/24 year end</t>
    </r>
    <r>
      <rPr>
        <sz val="11"/>
        <rFont val="Arial"/>
        <family val="2"/>
      </rPr>
      <t xml:space="preserve">. </t>
    </r>
    <r>
      <rPr>
        <b/>
        <sz val="11"/>
        <rFont val="Arial"/>
        <family val="2"/>
      </rPr>
      <t xml:space="preserve">2024/25 restored to £150K for start of year &amp; May 24 Finance approved £10K for BW roof repairs (N/C 7041) + £7K for Office (NC 9029) &amp; £8K for JC(NC 9030) Multimedia Rooms. </t>
    </r>
    <r>
      <rPr>
        <b/>
        <u/>
        <sz val="11"/>
        <rFont val="Arial"/>
        <family val="2"/>
      </rPr>
      <t>June 24 Council reduced media rooms to Office £3988 (NC 9029) + JC £4978 (NC 9030) Surplus is reallocated £1419.42 to N/C 9024 re meeting room furniture + £4614 to BC Build project N/C 9037 for feasibility study.</t>
    </r>
    <r>
      <rPr>
        <b/>
        <sz val="11"/>
        <rFont val="Arial"/>
        <family val="2"/>
      </rPr>
      <t xml:space="preserve"> Budget reduced by £15K from £175K to £160K</t>
    </r>
    <r>
      <rPr>
        <sz val="11"/>
        <rFont val="Arial"/>
        <family val="2"/>
      </rPr>
      <t xml:space="preserve">.  23/10/24 Finance approved £11,160 to upgrade and replace Floodlight bulbs from N/C 3012 to 9030 + £2079.14 per site for security measures to NC 6041,7041,8041 = £6237.42 total. Oct 24 approved funding. </t>
    </r>
    <r>
      <rPr>
        <b/>
        <sz val="11"/>
        <rFont val="Arial"/>
        <family val="2"/>
      </rPr>
      <t xml:space="preserve">Oct Finance approved funding 6048, 7048, 8048 @ £2079.14 per site re GSM access control- £62,37.42 tfrd 16/12/24. </t>
    </r>
    <r>
      <rPr>
        <sz val="11"/>
        <rFont val="Arial"/>
        <family val="2"/>
      </rPr>
      <t>11/2/25 - £9.5K tfrd to NC 9030 re part of JC Floodlight bulb upgrade.</t>
    </r>
    <r>
      <rPr>
        <b/>
        <sz val="11"/>
        <color rgb="FFFF0000"/>
        <rFont val="Arial"/>
        <family val="2"/>
      </rPr>
      <t xml:space="preserve"> July 25 Council approved £9K to replace Oak Hall patio doors amended to £10.2K by July Finance - see N/C 6041. Nov 25 Finance approved £6150 to repair  </t>
    </r>
    <r>
      <rPr>
        <b/>
        <u/>
        <sz val="11"/>
        <color rgb="FFFF0000"/>
        <rFont val="Arial"/>
        <family val="2"/>
      </rPr>
      <t xml:space="preserve">JC bridge to School (School to pay 50%) see - NC 9035 </t>
    </r>
    <r>
      <rPr>
        <b/>
        <sz val="11"/>
        <color rgb="FFFF0000"/>
        <rFont val="Arial"/>
        <family val="2"/>
      </rPr>
      <t xml:space="preserve">.+ BC  Elm Floor @ £5939.60 from N/C 8041. </t>
    </r>
    <r>
      <rPr>
        <b/>
        <sz val="11"/>
        <color rgb="FFC00000"/>
        <rFont val="Arial"/>
        <family val="2"/>
      </rPr>
      <t xml:space="preserve">Dec 25 Finance approved new Oak Hall Shutter @ £4150 to N/C 6041                                                        </t>
    </r>
  </si>
  <si>
    <r>
      <t xml:space="preserve">Nominal figure for 2021/22 based upon historic figures. June 2020 finance approved reduced from £11670 to £9500 based upon historic figures .  Sept 21 Beacon Play area top up sand £4362.50. </t>
    </r>
    <r>
      <rPr>
        <b/>
        <sz val="12"/>
        <rFont val="Arial"/>
        <family val="2"/>
      </rPr>
      <t>2023/24 - June 23 approved £3720 to move preschool play area fence.</t>
    </r>
    <r>
      <rPr>
        <sz val="12"/>
        <rFont val="Arial"/>
        <family val="2"/>
      </rPr>
      <t xml:space="preserve"> </t>
    </r>
    <r>
      <rPr>
        <b/>
        <sz val="12"/>
        <rFont val="Arial"/>
        <family val="2"/>
      </rPr>
      <t>Sept 24 Finance - Reduce from £10K to £8K based upon current performance</t>
    </r>
    <r>
      <rPr>
        <sz val="12"/>
        <rFont val="Arial"/>
        <family val="2"/>
      </rPr>
      <t xml:space="preserve">. </t>
    </r>
    <r>
      <rPr>
        <b/>
        <sz val="12"/>
        <color rgb="FFFF0000"/>
        <rFont val="Arial"/>
        <family val="2"/>
      </rPr>
      <t>July 25 Finance agreed £975 for Paddock Close play area painting + replace flooring @ £9,986.41- see N/C 3016.</t>
    </r>
    <r>
      <rPr>
        <u/>
        <sz val="12"/>
        <color rgb="FFFF0000"/>
        <rFont val="Arial"/>
        <family val="2"/>
      </rPr>
      <t>Sept 25- £9987 tfrd from NC 3016.</t>
    </r>
    <r>
      <rPr>
        <b/>
        <sz val="12"/>
        <color rgb="FFFF0000"/>
        <rFont val="Arial"/>
        <family val="2"/>
      </rPr>
      <t xml:space="preserve"> Nov 25  Finance  approved BW play area flooring @£9915.59 - see N/C 3016</t>
    </r>
    <r>
      <rPr>
        <sz val="12"/>
        <rFont val="Arial"/>
        <family val="2"/>
      </rPr>
      <t xml:space="preserve">. </t>
    </r>
    <r>
      <rPr>
        <sz val="12"/>
        <color rgb="FFFF0000"/>
        <rFont val="Arial"/>
        <family val="2"/>
      </rPr>
      <t>17/12/25 - £13058 tfd from N/C 3016</t>
    </r>
    <r>
      <rPr>
        <sz val="12"/>
        <rFont val="Arial"/>
        <family val="2"/>
      </rPr>
      <t xml:space="preserve">. </t>
    </r>
    <r>
      <rPr>
        <b/>
        <sz val="12"/>
        <color rgb="FFC00000"/>
        <rFont val="Arial"/>
        <family val="2"/>
      </rPr>
      <t>Dec 25 approved £2415.04 for BW Play area Sensory Station  from N/C 3016</t>
    </r>
  </si>
  <si>
    <r>
      <t xml:space="preserve">Village Green Development  </t>
    </r>
    <r>
      <rPr>
        <b/>
        <sz val="12"/>
        <rFont val="Arial"/>
        <family val="2"/>
      </rPr>
      <t>inc Leisure Equipment  maintenance &amp; mentoring from S106 Funding - See NC 3001</t>
    </r>
  </si>
  <si>
    <t xml:space="preserve">2nd payment £7498.50 received Dec 25 increase from £7337 to £14835.50 </t>
  </si>
  <si>
    <t xml:space="preserve">2nd payment £7498.50 received Dec 25 increase from £14674 to £14835.50 </t>
  </si>
  <si>
    <r>
      <rPr>
        <sz val="11"/>
        <color rgb="FFFF0000"/>
        <rFont val="Arial"/>
        <family val="2"/>
      </rPr>
      <t>1/4ly 3 Pdf Newsletter printing 8 pages @ basic £200 each rolling = est £600 + 3% =</t>
    </r>
    <r>
      <rPr>
        <b/>
        <sz val="11"/>
        <color rgb="FFFF0000"/>
        <rFont val="Arial"/>
        <family val="2"/>
      </rPr>
      <t xml:space="preserve"> £620</t>
    </r>
    <r>
      <rPr>
        <sz val="11"/>
        <color rgb="FFFF0000"/>
        <rFont val="Arial"/>
        <family val="2"/>
      </rPr>
      <t xml:space="preserve"> (Sprint Print)</t>
    </r>
    <r>
      <rPr>
        <sz val="11"/>
        <rFont val="Arial"/>
        <family val="2"/>
      </rPr>
      <t xml:space="preserve"> + Dec 20 agreed Sprint Print print 2020/21 Annual Report @ </t>
    </r>
    <r>
      <rPr>
        <b/>
        <sz val="11"/>
        <rFont val="Arial"/>
        <family val="2"/>
      </rPr>
      <t>£1322</t>
    </r>
    <r>
      <rPr>
        <sz val="11"/>
        <rFont val="Arial"/>
        <family val="2"/>
      </rPr>
      <t xml:space="preserve"> + Dec 20 - Jason Gaines 2020/21 Annual Report Delivery = </t>
    </r>
    <r>
      <rPr>
        <b/>
        <sz val="11"/>
        <rFont val="Arial"/>
        <family val="2"/>
      </rPr>
      <t>£750</t>
    </r>
    <r>
      <rPr>
        <sz val="11"/>
        <rFont val="Arial"/>
        <family val="2"/>
      </rPr>
      <t xml:space="preserve"> = £2072</t>
    </r>
    <r>
      <rPr>
        <b/>
        <sz val="11"/>
        <rFont val="Arial"/>
        <family val="2"/>
      </rPr>
      <t xml:space="preserve"> + 5% for 2021/22 = £2180.</t>
    </r>
    <r>
      <rPr>
        <sz val="11"/>
        <rFont val="Arial"/>
        <family val="2"/>
      </rPr>
      <t xml:space="preserve"> </t>
    </r>
    <r>
      <rPr>
        <b/>
        <sz val="11"/>
        <rFont val="Arial"/>
        <family val="2"/>
      </rPr>
      <t xml:space="preserve"> </t>
    </r>
    <r>
      <rPr>
        <sz val="11"/>
        <rFont val="Arial"/>
        <family val="2"/>
      </rPr>
      <t xml:space="preserve"> Budget updated June 2020 to £3K. </t>
    </r>
    <r>
      <rPr>
        <sz val="11"/>
        <color rgb="FFFF0000"/>
        <rFont val="Arial"/>
        <family val="2"/>
      </rPr>
      <t>Dec 21 approve</t>
    </r>
    <r>
      <rPr>
        <sz val="11"/>
        <color theme="1"/>
        <rFont val="Arial"/>
        <family val="2"/>
      </rPr>
      <t xml:space="preserve">d Sprint Print for 2021/22 Report @ £1389 + Bobs Leaflets for distributions @ £810. </t>
    </r>
    <r>
      <rPr>
        <b/>
        <u/>
        <sz val="11"/>
        <color theme="1"/>
        <rFont val="Arial"/>
        <family val="2"/>
      </rPr>
      <t xml:space="preserve">2022/23 = £620 + £1389 + £810 = £2819 + 5% = £2960 + £130 contingency. </t>
    </r>
    <r>
      <rPr>
        <b/>
        <sz val="11"/>
        <color theme="1"/>
        <rFont val="Arial"/>
        <family val="2"/>
      </rPr>
      <t>Dec 122 approved Sprint Print to p</t>
    </r>
    <r>
      <rPr>
        <b/>
        <sz val="11"/>
        <rFont val="Arial"/>
        <family val="2"/>
      </rPr>
      <t>rint 22/23 Annual Newsletter - £1689 + Matters Magazine for Delivery - £825.00</t>
    </r>
    <r>
      <rPr>
        <sz val="11"/>
        <rFont val="Arial"/>
        <family val="2"/>
      </rPr>
      <t xml:space="preserve">. Dec 23 approved  Jam Jar to print 23/24 report  @ £1604 + BS Matters to deliver @ £675. </t>
    </r>
    <r>
      <rPr>
        <b/>
        <sz val="11"/>
        <color rgb="FFFF0000"/>
        <rFont val="Arial"/>
        <family val="2"/>
      </rPr>
      <t>Nov 24 council approved Jam Jar to print 24/25 report @ £1615</t>
    </r>
    <r>
      <rPr>
        <sz val="11"/>
        <rFont val="Arial"/>
        <family val="2"/>
      </rPr>
      <t xml:space="preserve"> </t>
    </r>
    <r>
      <rPr>
        <sz val="11"/>
        <color rgb="FFFF0000"/>
        <rFont val="Arial"/>
        <family val="2"/>
      </rPr>
      <t>+ BS Matters distribution @ £695 (Clerks remit)</t>
    </r>
    <r>
      <rPr>
        <sz val="11"/>
        <rFont val="Arial"/>
        <family val="2"/>
      </rPr>
      <t xml:space="preserve">. </t>
    </r>
    <r>
      <rPr>
        <sz val="11"/>
        <color rgb="FFC00000"/>
        <rFont val="Arial"/>
        <family val="2"/>
      </rPr>
      <t>Dec 25 Finance - Jam Jar 12 page  Annual report @ £2080 for 25/26.</t>
    </r>
    <r>
      <rPr>
        <b/>
        <sz val="11"/>
        <color rgb="FFC00000"/>
        <rFont val="Arial"/>
        <family val="2"/>
      </rPr>
      <t xml:space="preserve"> Jan 26 - Budget increased to £3200 for 26/27 est £2200 Newsletter + £1000 delivery  </t>
    </r>
  </si>
  <si>
    <t>26/27 - increase from £85338 to £90K following youger staff auto enrolled. 27/28 increase from £89850 to £94K</t>
  </si>
  <si>
    <t>This projection has applied the 2027/28 Sth Glos projected tax base of as issued in December 2025- These assumptions will be considered by Council in January 2027 when finalised figures are available</t>
  </si>
  <si>
    <t>This projection has applied the 2028/29 Sth Glos projected tax base of as issued in December 2025 - These assumptions will be considered by Council in January 2028 when finalised figures are available</t>
  </si>
  <si>
    <t>This projection has applied the 2028/29 Sth Glos projected tax base of as issued in December 2025 - These assumptions will be considered by Council in January 2029 when finalised figures are available</t>
  </si>
  <si>
    <r>
      <rPr>
        <b/>
        <sz val="12"/>
        <color theme="1"/>
        <rFont val="Arial"/>
        <family val="2"/>
      </rPr>
      <t xml:space="preserve">Finalised figures </t>
    </r>
    <r>
      <rPr>
        <u/>
        <sz val="12"/>
        <color theme="1"/>
        <rFont val="Arial"/>
        <family val="2"/>
      </rPr>
      <t>confirmed</t>
    </r>
    <r>
      <rPr>
        <b/>
        <sz val="12"/>
        <color theme="1"/>
        <rFont val="Arial"/>
        <family val="2"/>
      </rPr>
      <t xml:space="preserve"> 2020/21 20.9% + no deficit &amp; 2021/22 20.9% </t>
    </r>
    <r>
      <rPr>
        <sz val="12"/>
        <color theme="1"/>
        <rFont val="Arial"/>
        <family val="2"/>
      </rPr>
      <t xml:space="preserve">- These amounts are annual figures.The figures are recalculated every 3 years linked to performance of the markets.  The BSTC budgeted pension figure assumes full pension membership by all employees under auto-enrolment. June Finance 2020 agreed Reduce from £75400 to £70K based on historic figures + staff retirements. </t>
    </r>
    <r>
      <rPr>
        <u/>
        <sz val="12"/>
        <color theme="1"/>
        <rFont val="Arial"/>
        <family val="2"/>
      </rPr>
      <t>Oct 20 reduce budget from £70K to £65K based upon estimated £6K p/m over 6 months remaining</t>
    </r>
    <r>
      <rPr>
        <b/>
        <u/>
        <sz val="12"/>
        <color theme="1"/>
        <rFont val="Arial"/>
        <family val="2"/>
      </rPr>
      <t>.</t>
    </r>
    <r>
      <rPr>
        <sz val="12"/>
        <color theme="1"/>
        <rFont val="Arial"/>
        <family val="2"/>
      </rPr>
      <t xml:space="preserve"> Reduction due to RFO reduced pay and Deputy Clerk position change.                                                                                                                                        </t>
    </r>
    <r>
      <rPr>
        <b/>
        <u/>
        <sz val="12"/>
        <color theme="1"/>
        <rFont val="Arial"/>
        <family val="2"/>
      </rPr>
      <t xml:space="preserve">2021/22 </t>
    </r>
    <r>
      <rPr>
        <sz val="12"/>
        <color theme="1"/>
        <rFont val="Arial"/>
        <family val="2"/>
      </rPr>
      <t xml:space="preserve">= Jan 22 - £65K reduce to £54K based upon max projection £5K p/m Jan - Mar                                                                                                                                                                           </t>
    </r>
    <r>
      <rPr>
        <b/>
        <u/>
        <sz val="12"/>
        <color theme="1"/>
        <rFont val="Arial"/>
        <family val="2"/>
      </rPr>
      <t>2022/23</t>
    </r>
    <r>
      <rPr>
        <sz val="12"/>
        <color theme="1"/>
        <rFont val="Arial"/>
        <family val="2"/>
      </rPr>
      <t xml:space="preserve"> = £65K to Oct 22 + £67K post Oct 22 = £132K/2 = £66000 (reduced from £67K). </t>
    </r>
    <r>
      <rPr>
        <b/>
        <sz val="12"/>
        <color theme="1"/>
        <rFont val="Arial"/>
        <family val="2"/>
      </rPr>
      <t>Nov 22 reduced to £61.3K based upon latest available figures + £65.5K for 2023/24. June 23 Finance - Reduced to £64K based upon 22/23 year end</t>
    </r>
    <r>
      <rPr>
        <sz val="12"/>
        <color theme="1"/>
        <rFont val="Arial"/>
        <family val="2"/>
      </rPr>
      <t xml:space="preserve">  </t>
    </r>
    <r>
      <rPr>
        <b/>
        <sz val="12"/>
        <color theme="1"/>
        <rFont val="Arial"/>
        <family val="2"/>
      </rPr>
      <t xml:space="preserve">                                                                                                                   </t>
    </r>
    <r>
      <rPr>
        <b/>
        <u/>
        <sz val="12"/>
        <color theme="1"/>
        <rFont val="Arial"/>
        <family val="2"/>
      </rPr>
      <t>24/25</t>
    </r>
    <r>
      <rPr>
        <b/>
        <sz val="12"/>
        <color theme="1"/>
        <rFont val="Arial"/>
        <family val="2"/>
      </rPr>
      <t xml:space="preserve"> Approved Nov 23 - based upon 21.2%employer rates + £6K deficit refund = £63,860. .July 24 Finance approved uplifts in payroll budgets to cover 3 new office roles to 27/28</t>
    </r>
    <r>
      <rPr>
        <sz val="12"/>
        <color theme="1"/>
        <rFont val="Arial"/>
        <family val="2"/>
      </rPr>
      <t>.</t>
    </r>
    <r>
      <rPr>
        <b/>
        <sz val="12"/>
        <color rgb="FFFF3737"/>
        <rFont val="Arial"/>
        <family val="2"/>
      </rPr>
      <t xml:space="preserve"> Jan 25 approved- 26/27 - increase from £85338 to £90K following youger staff auto enrolled. 27/28 increase from £89850 to £94K</t>
    </r>
  </si>
  <si>
    <r>
      <rPr>
        <b/>
        <sz val="11"/>
        <color theme="1"/>
        <rFont val="Arial"/>
        <family val="2"/>
      </rPr>
      <t xml:space="preserve"> June 2020</t>
    </r>
    <r>
      <rPr>
        <sz val="11"/>
        <color theme="1"/>
        <rFont val="Arial"/>
        <family val="2"/>
      </rPr>
      <t xml:space="preserve"> Finance approved Reduced from £354,500 by 9/12 x £5K p/a = £3750 for 2020/21 &amp; £5K pa thereafter to allow for 10 hr Admin leaver in 2020.  </t>
    </r>
    <r>
      <rPr>
        <b/>
        <u/>
        <sz val="11"/>
        <color theme="1"/>
        <rFont val="Arial"/>
        <family val="2"/>
      </rPr>
      <t>2021/22 Jan 22</t>
    </r>
    <r>
      <rPr>
        <b/>
        <sz val="11"/>
        <color theme="1"/>
        <rFont val="Arial"/>
        <family val="2"/>
      </rPr>
      <t xml:space="preserve"> = £360K reduce to £350K  based on max projection of £30k p/m Jan - Mar 22 . </t>
    </r>
    <r>
      <rPr>
        <b/>
        <u/>
        <sz val="11"/>
        <color theme="1"/>
        <rFont val="Arial"/>
        <family val="2"/>
      </rPr>
      <t>2022/23</t>
    </r>
    <r>
      <rPr>
        <sz val="11"/>
        <color theme="1"/>
        <rFont val="Arial"/>
        <family val="2"/>
      </rPr>
      <t xml:space="preserve"> = £361K to Oct 22 + £371K post Oct 22 = 732/2 = £366K (reduced from £369K). Nov 22 Increased following NJC Pay award for 22/23 @ £1295 (pro rata accross the board). </t>
    </r>
    <r>
      <rPr>
        <b/>
        <sz val="11"/>
        <color theme="1"/>
        <rFont val="Arial"/>
        <family val="2"/>
      </rPr>
      <t xml:space="preserve">Nov 22 - </t>
    </r>
    <r>
      <rPr>
        <b/>
        <u/>
        <sz val="11"/>
        <color theme="1"/>
        <rFont val="Arial"/>
        <family val="2"/>
      </rPr>
      <t>2023/24</t>
    </r>
    <r>
      <rPr>
        <b/>
        <sz val="11"/>
        <color theme="1"/>
        <rFont val="Arial"/>
        <family val="2"/>
      </rPr>
      <t xml:space="preserve"> budget agreed based upon increase + estimated 3% in 2023/24 @ £387,740 - June 23 Finance Increased to £395,803 based upon 22/23 year end. </t>
    </r>
    <r>
      <rPr>
        <b/>
        <u/>
        <sz val="11"/>
        <color theme="1"/>
        <rFont val="Arial"/>
        <family val="2"/>
      </rPr>
      <t>2024/25</t>
    </r>
    <r>
      <rPr>
        <b/>
        <sz val="11"/>
        <color theme="1"/>
        <rFont val="Arial"/>
        <family val="2"/>
      </rPr>
      <t xml:space="preserve"> - Nov 23 Council approved £411K following NJC pay award</t>
    </r>
    <r>
      <rPr>
        <sz val="11"/>
        <color theme="1"/>
        <rFont val="Arial"/>
        <family val="2"/>
      </rPr>
      <t xml:space="preserve">. </t>
    </r>
    <r>
      <rPr>
        <b/>
        <sz val="11"/>
        <color theme="1"/>
        <rFont val="Arial"/>
        <family val="2"/>
      </rPr>
      <t>24/25 Approved Nov 23 - based upon 21.2%employer rates + £6K deficit refund = £63,860. July 24 Finance approved uplifts in payroll budgets to cover 3 new office roles to 27/28.</t>
    </r>
    <r>
      <rPr>
        <b/>
        <sz val="11"/>
        <color rgb="FFFF0000"/>
        <rFont val="Arial"/>
        <family val="2"/>
      </rPr>
      <t xml:space="preserve"> Jan 26 Council approved - 25/26 Increase from £470K to £490K to cover long term sick leave and SMP + additional LA hours   26/27 increase from £488,945 to £510K. 27/28 from £510K to £530K.</t>
    </r>
  </si>
  <si>
    <r>
      <t xml:space="preserve">2015 elections were £15,121 . Also see reserves N/C 3087 - The £5k p/a budget is to fund potential bi-elections. Roll unspent year end budget into N/C 3087. 21/11/18 council reduced budget as outside of bi-election dates in 2018/19 - Moved to N/C 9015 for Windows 10 upgrade - Election Cost for May 19 - £22,605.83 so £23,0000 moved to 5086 Left £5k in so total budget £28k will amend at year end if not need for By election 2020. June 2020 Finance Reduced to £3K p/a from £5K as unlikely to have a bi election on an annual basis. </t>
    </r>
    <r>
      <rPr>
        <b/>
        <sz val="11"/>
        <rFont val="Arial"/>
        <family val="2"/>
      </rPr>
      <t xml:space="preserve">Increased from £3K to £12K March 2021 as 2 bi-elections confirmed for 21/22 &amp; cost estimated at £6+K per ward. </t>
    </r>
    <r>
      <rPr>
        <sz val="11"/>
        <rFont val="Arial"/>
        <family val="2"/>
      </rPr>
      <t>Oct 21 increased from £12K to £15190 to cover actual costs</t>
    </r>
    <r>
      <rPr>
        <b/>
        <sz val="11"/>
        <rFont val="Arial"/>
        <family val="2"/>
      </rPr>
      <t>. Jan 21 - 2021/22 Increase budget by £8.4K to  £23590 re ward bi-election for 3/3/22 +  2022/23 - hold £3K towards possble elections and can raid reserves for any required balance in the meantime and p</t>
    </r>
    <r>
      <rPr>
        <sz val="11"/>
        <rFont val="Arial"/>
        <family val="2"/>
      </rPr>
      <t>ay back if required. Feb 23 - Approved tfr of £3K to election reserves NC 3087. Dec 23 - Tfr £24,823.79 from NC 3087 re May 23 election cost of £28,823.79.</t>
    </r>
    <r>
      <rPr>
        <b/>
        <sz val="11"/>
        <rFont val="Arial"/>
        <family val="2"/>
      </rPr>
      <t xml:space="preserve"> Nov 24 Council - Willowbrook bi-election costs £9934.07 - £2934.07 tfrd from reserves NC3087</t>
    </r>
    <r>
      <rPr>
        <sz val="11"/>
        <rFont val="Arial"/>
        <family val="2"/>
      </rPr>
      <t xml:space="preserve">. Actual cost = £6271.06 Tfr from N/C 3087 for Primrose Bridge Ward bi-election due 27/3/25 to cover accrual. </t>
    </r>
    <r>
      <rPr>
        <b/>
        <sz val="11"/>
        <color rgb="FFFF3737"/>
        <rFont val="Arial"/>
        <family val="2"/>
      </rPr>
      <t>Jan 26 Council approved Reduce from £7K to nil for 25/26</t>
    </r>
  </si>
  <si>
    <r>
      <t xml:space="preserve">October 25 Council- Approved the purchase of open space on Dewfalls Drive via auction - land purchased @ £17K &amp; Oct Finance Approved auction costs of £2400 &amp; solicitors @ £1000 </t>
    </r>
    <r>
      <rPr>
        <b/>
        <u/>
        <sz val="12"/>
        <rFont val="Arial"/>
        <family val="2"/>
      </rPr>
      <t>= £20,400</t>
    </r>
    <r>
      <rPr>
        <b/>
        <sz val="12"/>
        <rFont val="Arial"/>
        <family val="2"/>
      </rPr>
      <t xml:space="preserve"> to be funded from year end surplus or contingent reserve NC 3080</t>
    </r>
    <r>
      <rPr>
        <sz val="12"/>
        <rFont val="Arial"/>
        <family val="2"/>
      </rPr>
      <t xml:space="preserve">. </t>
    </r>
    <r>
      <rPr>
        <b/>
        <sz val="12"/>
        <color rgb="FFFF3737"/>
        <rFont val="Arial"/>
        <family val="2"/>
      </rPr>
      <t>Jan 26 council approved moving budget from Contingent Reserve N/C3090</t>
    </r>
    <r>
      <rPr>
        <sz val="12"/>
        <rFont val="Arial"/>
        <family val="2"/>
      </rPr>
      <t xml:space="preserve"> </t>
    </r>
    <r>
      <rPr>
        <b/>
        <sz val="12"/>
        <color rgb="FFFF3737"/>
        <rFont val="Arial"/>
        <family val="2"/>
      </rPr>
      <t>and pay back at year end</t>
    </r>
  </si>
  <si>
    <r>
      <rPr>
        <sz val="11"/>
        <rFont val="Arial"/>
        <family val="2"/>
      </rPr>
      <t xml:space="preserve">See also Income N/C 4109 &amp; Exp N/C 9050. </t>
    </r>
    <r>
      <rPr>
        <b/>
        <sz val="11"/>
        <rFont val="Arial"/>
        <family val="2"/>
      </rPr>
      <t xml:space="preserve">Jan 2017 for 2016.17 year end £430.15 moved from N/C 4109 and offset £181.25 in N/C 9050 and added to £525.97 in reserves. </t>
    </r>
    <r>
      <rPr>
        <sz val="11"/>
        <rFont val="Arial"/>
        <family val="2"/>
      </rPr>
      <t xml:space="preserve">£248.90 tfrd in April 2017. April 2018 - £785.13 tfrd from N/C 4109 (no expenditure spent under N/C 9050). April 2019 - £987 transferred from N/C 4109 income for 2018/19. July 19 £508 tfrd to  9050 re BW projector + flipchart. </t>
    </r>
    <r>
      <rPr>
        <b/>
        <sz val="11"/>
        <rFont val="Arial"/>
        <family val="2"/>
      </rPr>
      <t>Dec 23 Approved reducing 24/25 budget from £2039 to £1K</t>
    </r>
    <r>
      <rPr>
        <sz val="11"/>
        <rFont val="Arial"/>
        <family val="2"/>
      </rPr>
      <t>.</t>
    </r>
    <r>
      <rPr>
        <b/>
        <sz val="11"/>
        <color rgb="FFFF3737"/>
        <rFont val="Arial"/>
        <family val="2"/>
      </rPr>
      <t xml:space="preserve"> Jan 26 council approved reducing to Nil</t>
    </r>
  </si>
  <si>
    <r>
      <t xml:space="preserve">Contingent reserve required under audit &amp; financial regulations as best practice to be at least 25% of annual expenditure. </t>
    </r>
    <r>
      <rPr>
        <b/>
        <sz val="11"/>
        <color rgb="FFFF3737"/>
        <rFont val="Arial"/>
        <family val="2"/>
      </rPr>
      <t>Jan 26  Council approved moving £25678 to N/C 9052 to cover Dewfall Drives land purchase and pay back at year end</t>
    </r>
  </si>
  <si>
    <t>The tax base figure is based upon approved figures from Sth Glos in Dec 2025. The final precept was approved by Council in January 2026 with 5% increase.</t>
  </si>
  <si>
    <t>2026/27 Approved Budget @ 21/1/26</t>
  </si>
  <si>
    <r>
      <t xml:space="preserve">Maintain 2016/17 budget. </t>
    </r>
    <r>
      <rPr>
        <b/>
        <sz val="11"/>
        <rFont val="Arial"/>
        <family val="2"/>
      </rPr>
      <t>Feb 23 LY&amp;A approved tfr of £500 budget to  NC5074 for Hedgehog Heroes funding of £700.Feb 23 increase by £4350 from Youth Grant Aid NC 5499 as amalgamating grant aid budgets - increase from £6000 to £10,350</t>
    </r>
    <r>
      <rPr>
        <sz val="11"/>
        <rFont val="Arial"/>
        <family val="2"/>
      </rPr>
      <t>.</t>
    </r>
    <r>
      <rPr>
        <b/>
        <sz val="11"/>
        <color rgb="FFFF0000"/>
        <rFont val="Arial"/>
        <family val="2"/>
      </rPr>
      <t xml:space="preserve"> Aug 24 LY&amp;A approved £3K to Library Lego Club for 25/26</t>
    </r>
    <r>
      <rPr>
        <sz val="11"/>
        <rFont val="Arial"/>
        <family val="2"/>
      </rPr>
      <t xml:space="preserve">. </t>
    </r>
    <r>
      <rPr>
        <b/>
        <sz val="11"/>
        <color rgb="FFFF0000"/>
        <rFont val="Arial"/>
        <family val="2"/>
      </rPr>
      <t>21.1.26 approved reduce by £1.5K for 26/27 to £8.6K to fund cricket SLA uplift N/C 5077</t>
    </r>
  </si>
  <si>
    <r>
      <rPr>
        <u/>
        <sz val="11"/>
        <rFont val="Arial"/>
        <family val="2"/>
      </rPr>
      <t xml:space="preserve">P &amp; BS volunteer </t>
    </r>
    <r>
      <rPr>
        <b/>
        <sz val="11"/>
        <rFont val="Arial"/>
        <family val="2"/>
      </rPr>
      <t>£1,158.84</t>
    </r>
    <r>
      <rPr>
        <sz val="11"/>
        <rFont val="Arial"/>
        <family val="2"/>
      </rPr>
      <t xml:space="preserve">, </t>
    </r>
    <r>
      <rPr>
        <u/>
        <sz val="11"/>
        <rFont val="Arial"/>
        <family val="2"/>
      </rPr>
      <t xml:space="preserve">Chinese Assoc </t>
    </r>
    <r>
      <rPr>
        <b/>
        <sz val="11"/>
        <rFont val="Arial"/>
        <family val="2"/>
      </rPr>
      <t xml:space="preserve">£1,764.37, </t>
    </r>
    <r>
      <rPr>
        <sz val="11"/>
        <rFont val="Arial"/>
        <family val="2"/>
      </rPr>
      <t xml:space="preserve"> </t>
    </r>
    <r>
      <rPr>
        <u/>
        <sz val="11"/>
        <rFont val="Arial"/>
        <family val="2"/>
      </rPr>
      <t>3 Brooks Nature Conservation</t>
    </r>
    <r>
      <rPr>
        <sz val="11"/>
        <rFont val="Arial"/>
        <family val="2"/>
      </rPr>
      <t xml:space="preserve"> </t>
    </r>
    <r>
      <rPr>
        <b/>
        <sz val="11"/>
        <rFont val="Arial"/>
        <family val="2"/>
      </rPr>
      <t xml:space="preserve">£2,000 - </t>
    </r>
    <r>
      <rPr>
        <sz val="11"/>
        <rFont val="Arial"/>
        <family val="2"/>
      </rPr>
      <t>Approved by LY&amp;A 15/12/14.</t>
    </r>
    <r>
      <rPr>
        <b/>
        <sz val="11"/>
        <rFont val="Arial"/>
        <family val="2"/>
      </rPr>
      <t xml:space="preserve"> </t>
    </r>
    <r>
      <rPr>
        <b/>
        <sz val="12"/>
        <color indexed="12"/>
        <rFont val="Arial"/>
        <family val="2"/>
      </rPr>
      <t xml:space="preserve">(possibly promotion of well being  under Local Govt Act 2000) </t>
    </r>
    <r>
      <rPr>
        <b/>
        <u/>
        <sz val="11"/>
        <rFont val="Arial"/>
        <family val="2"/>
      </rPr>
      <t>2023/24 - Feb 23 Amalgamate Youth SLAs (NC 5499) into General SLA budgets (NC 5077) for 2023/24 onwards - Decrease NC 5499 by £8150 and increase NC 5077 from £5772 to £13922.</t>
    </r>
    <r>
      <rPr>
        <b/>
        <sz val="11"/>
        <color rgb="FFFF0000"/>
        <rFont val="Arial"/>
        <family val="2"/>
      </rPr>
      <t xml:space="preserve">                                                                                              </t>
    </r>
    <r>
      <rPr>
        <u/>
        <sz val="11"/>
        <color rgb="FFFF0000"/>
        <rFont val="Arial"/>
        <family val="2"/>
      </rPr>
      <t xml:space="preserve">BSYFC grant aid of </t>
    </r>
    <r>
      <rPr>
        <b/>
        <sz val="11"/>
        <color rgb="FFFF0000"/>
        <rFont val="Arial"/>
        <family val="2"/>
      </rPr>
      <t>£2300</t>
    </r>
    <r>
      <rPr>
        <sz val="11"/>
        <color rgb="FFFF0000"/>
        <rFont val="Arial"/>
        <family val="2"/>
      </rPr>
      <t xml:space="preserve"> approved at July 2012</t>
    </r>
    <r>
      <rPr>
        <b/>
        <sz val="11"/>
        <color rgb="FFFF0000"/>
        <rFont val="Arial"/>
        <family val="2"/>
      </rPr>
      <t xml:space="preserve">                                                          </t>
    </r>
    <r>
      <rPr>
        <u/>
        <sz val="11"/>
        <color rgb="FFFF0000"/>
        <rFont val="Arial"/>
        <family val="2"/>
      </rPr>
      <t>Council + Cricket Club</t>
    </r>
    <r>
      <rPr>
        <b/>
        <u/>
        <sz val="11"/>
        <color rgb="FFFF0000"/>
        <rFont val="Arial"/>
        <family val="2"/>
      </rPr>
      <t xml:space="preserve"> </t>
    </r>
    <r>
      <rPr>
        <sz val="11"/>
        <color rgb="FFFF0000"/>
        <rFont val="Arial"/>
        <family val="2"/>
      </rPr>
      <t>£3.5K</t>
    </r>
    <r>
      <rPr>
        <b/>
        <sz val="11"/>
        <color rgb="FFFF0000"/>
        <rFont val="Arial"/>
        <family val="2"/>
      </rPr>
      <t xml:space="preserve"> </t>
    </r>
    <r>
      <rPr>
        <sz val="11"/>
        <color rgb="FFFF0000"/>
        <rFont val="Arial"/>
        <family val="2"/>
      </rPr>
      <t>approved Jan 15 -</t>
    </r>
    <r>
      <rPr>
        <b/>
        <u/>
        <sz val="11"/>
        <color rgb="FFFF0000"/>
        <rFont val="Arial"/>
        <family val="2"/>
      </rPr>
      <t xml:space="preserve"> Increase to £5K for 26/27 from N/C 5076 approved 21.1.26 </t>
    </r>
    <r>
      <rPr>
        <b/>
        <sz val="11"/>
        <color rgb="FFFF0000"/>
        <rFont val="Arial"/>
        <family val="2"/>
      </rPr>
      <t xml:space="preserve">                                                                                                      </t>
    </r>
    <r>
      <rPr>
        <u/>
        <sz val="11"/>
        <color rgb="FFFF0000"/>
        <rFont val="Arial"/>
        <family val="2"/>
      </rPr>
      <t>Christ the King Church</t>
    </r>
    <r>
      <rPr>
        <sz val="11"/>
        <color rgb="FFFF0000"/>
        <rFont val="Arial"/>
        <family val="2"/>
      </rPr>
      <t xml:space="preserve"> </t>
    </r>
    <r>
      <rPr>
        <b/>
        <sz val="11"/>
        <color rgb="FFFF0000"/>
        <rFont val="Arial"/>
        <family val="2"/>
      </rPr>
      <t>£2350</t>
    </r>
    <r>
      <rPr>
        <sz val="11"/>
        <color rgb="FFFF0000"/>
        <rFont val="Arial"/>
        <family val="2"/>
      </rPr>
      <t xml:space="preserve"> (increased from £1600 Aug 16 Finance)                                                      </t>
    </r>
    <r>
      <rPr>
        <u/>
        <sz val="11"/>
        <color rgb="FFFF0000"/>
        <rFont val="Arial"/>
        <family val="2"/>
      </rPr>
      <t xml:space="preserve">P &amp; BS volunteer </t>
    </r>
    <r>
      <rPr>
        <b/>
        <sz val="11"/>
        <color rgb="FFFF0000"/>
        <rFont val="Arial"/>
        <family val="2"/>
      </rPr>
      <t>£1,200</t>
    </r>
    <r>
      <rPr>
        <sz val="11"/>
        <color rgb="FFFF0000"/>
        <rFont val="Arial"/>
        <family val="2"/>
      </rPr>
      <t xml:space="preserve">,                                                                                                                                             </t>
    </r>
    <r>
      <rPr>
        <u/>
        <sz val="11"/>
        <color rgb="FFFF0000"/>
        <rFont val="Arial"/>
        <family val="2"/>
      </rPr>
      <t>Chinese Assoc</t>
    </r>
    <r>
      <rPr>
        <sz val="11"/>
        <color rgb="FFFF0000"/>
        <rFont val="Arial"/>
        <family val="2"/>
      </rPr>
      <t xml:space="preserve"> </t>
    </r>
    <r>
      <rPr>
        <b/>
        <sz val="11"/>
        <color rgb="FFFF0000"/>
        <rFont val="Arial"/>
        <family val="2"/>
      </rPr>
      <t>£1,800</t>
    </r>
    <r>
      <rPr>
        <sz val="11"/>
        <color rgb="FFFF0000"/>
        <rFont val="Arial"/>
        <family val="2"/>
      </rPr>
      <t xml:space="preserve">,                                                                                                                                                              </t>
    </r>
    <r>
      <rPr>
        <u/>
        <sz val="11"/>
        <color rgb="FFFF0000"/>
        <rFont val="Arial"/>
        <family val="2"/>
      </rPr>
      <t>3 Brooks Nature Conservation</t>
    </r>
    <r>
      <rPr>
        <sz val="11"/>
        <color rgb="FFFF0000"/>
        <rFont val="Arial"/>
        <family val="2"/>
      </rPr>
      <t xml:space="preserve"> </t>
    </r>
    <r>
      <rPr>
        <b/>
        <sz val="11"/>
        <color rgb="FFFF0000"/>
        <rFont val="Arial"/>
        <family val="2"/>
      </rPr>
      <t>£2,000</t>
    </r>
    <r>
      <rPr>
        <sz val="11"/>
        <color rgb="FFFF0000"/>
        <rFont val="Arial"/>
        <family val="2"/>
      </rPr>
      <t xml:space="preserve">                                                                                                                      </t>
    </r>
    <r>
      <rPr>
        <b/>
        <sz val="11"/>
        <color rgb="FFFF0000"/>
        <rFont val="Arial"/>
        <family val="2"/>
      </rPr>
      <t>June 24 LY&amp;A ceased Victim support SLA £848.19 as not claimed for several years- reallocate £500 to BS in Bloom (N/C 5092) + £348.19  used to round up existing SLAs</t>
    </r>
    <r>
      <rPr>
        <sz val="11"/>
        <color rgb="FFFF0000"/>
        <rFont val="Arial"/>
        <family val="2"/>
      </rPr>
      <t xml:space="preserve">. </t>
    </r>
    <r>
      <rPr>
        <b/>
        <u/>
        <sz val="11"/>
        <color rgb="FFFF0000"/>
        <rFont val="Arial"/>
        <family val="2"/>
      </rPr>
      <t>Sept 24 Finance - Budget reduced by £500 from £13922 to £13300</t>
    </r>
  </si>
  <si>
    <r>
      <t xml:space="preserve">New Projects Budget Agreed by Finance 5/3/25 - </t>
    </r>
    <r>
      <rPr>
        <sz val="11"/>
        <color rgb="FFFF0000"/>
        <rFont val="Arial"/>
        <family val="2"/>
      </rPr>
      <t>£2K taken from Com Dev Grant Aid N/C 5087 for 24/25 onwards</t>
    </r>
    <r>
      <rPr>
        <sz val="11"/>
        <rFont val="Arial"/>
        <family val="2"/>
      </rPr>
      <t xml:space="preserve"> + 25/26 - £500 Jon Bradbury MAF funding from Jan 25 for April 25 Tea Party See N/C 4003 + £2K main budget = £2.5K</t>
    </r>
    <r>
      <rPr>
        <b/>
        <sz val="11"/>
        <color rgb="FFFF0000"/>
        <rFont val="Arial"/>
        <family val="2"/>
      </rPr>
      <t xml:space="preserve">. </t>
    </r>
    <r>
      <rPr>
        <b/>
        <u/>
        <sz val="11"/>
        <rFont val="Arial"/>
        <family val="2"/>
      </rPr>
      <t>MARCH 25 COUNCIL - APPROVED ROLLING ANY UNSPENT 24/25 BUDGET INTO 25/26 AY YEAR END = £756.15</t>
    </r>
    <r>
      <rPr>
        <b/>
        <sz val="11"/>
        <color rgb="FFFF0000"/>
        <rFont val="Arial"/>
        <family val="2"/>
      </rPr>
      <t xml:space="preserve">. June25 Council approved adding £3K specfically to cover 3 tea parties. </t>
    </r>
    <r>
      <rPr>
        <b/>
        <u/>
        <sz val="11"/>
        <color rgb="FFFF0000"/>
        <rFont val="Arial"/>
        <family val="2"/>
      </rPr>
      <t>Dec 25 - £2K for JC and £2K for BC Community Welcome Spaces Grant funding approved  see  N/C 4002</t>
    </r>
    <r>
      <rPr>
        <b/>
        <sz val="11"/>
        <color rgb="FFFF0000"/>
        <rFont val="Arial"/>
        <family val="2"/>
      </rPr>
      <t xml:space="preserve">. </t>
    </r>
    <r>
      <rPr>
        <b/>
        <sz val="11"/>
        <color rgb="FFC00000"/>
        <rFont val="Arial"/>
        <family val="2"/>
      </rPr>
      <t>Jan 26 Council approved transferring £1.5K from N/C 5074 for IWD</t>
    </r>
  </si>
  <si>
    <r>
      <t xml:space="preserve">MCO costs (est) £100 p/m = </t>
    </r>
    <r>
      <rPr>
        <b/>
        <sz val="11"/>
        <rFont val="Arial"/>
        <family val="2"/>
      </rPr>
      <t>£1200</t>
    </r>
    <r>
      <rPr>
        <sz val="11"/>
        <rFont val="Arial"/>
        <family val="2"/>
      </rPr>
      <t xml:space="preserve"> p/a also see N/C 9033 for equipment + N/C 5997 + 5998 re vehicle costs + others items such as signs est </t>
    </r>
    <r>
      <rPr>
        <b/>
        <sz val="11"/>
        <rFont val="Arial"/>
        <family val="2"/>
      </rPr>
      <t>£500</t>
    </r>
    <r>
      <rPr>
        <sz val="11"/>
        <rFont val="Arial"/>
        <family val="2"/>
      </rPr>
      <t xml:space="preserve"> +  Ambience contract for streetcare costs</t>
    </r>
    <r>
      <rPr>
        <b/>
        <sz val="11"/>
        <rFont val="Arial"/>
        <family val="2"/>
      </rPr>
      <t xml:space="preserve"> £12220 </t>
    </r>
    <r>
      <rPr>
        <sz val="11"/>
        <rFont val="Arial"/>
        <family val="2"/>
      </rPr>
      <t>agreed by chairs in Mar 20 due to covid (</t>
    </r>
    <r>
      <rPr>
        <u/>
        <sz val="11"/>
        <rFont val="Arial"/>
        <family val="2"/>
      </rPr>
      <t>fixed for 3 years until 31/3/23</t>
    </r>
    <r>
      <rPr>
        <sz val="11"/>
        <rFont val="Arial"/>
        <family val="2"/>
      </rPr>
      <t xml:space="preserve">) + </t>
    </r>
    <r>
      <rPr>
        <b/>
        <sz val="11"/>
        <rFont val="Arial"/>
        <family val="2"/>
      </rPr>
      <t>£2000</t>
    </r>
    <r>
      <rPr>
        <sz val="11"/>
        <rFont val="Arial"/>
        <family val="2"/>
      </rPr>
      <t xml:space="preserve"> for other ad hoc works + 2 ANNUAL ROUNDABOUT ENHANCEMENT - BEAUTIFICATION contract = </t>
    </r>
    <r>
      <rPr>
        <b/>
        <sz val="11"/>
        <rFont val="Arial"/>
        <family val="2"/>
      </rPr>
      <t>£2500</t>
    </r>
    <r>
      <rPr>
        <sz val="11"/>
        <rFont val="Arial"/>
        <family val="2"/>
      </rPr>
      <t xml:space="preserve"> P/A</t>
    </r>
    <r>
      <rPr>
        <b/>
        <sz val="11"/>
        <rFont val="Arial"/>
        <family val="2"/>
      </rPr>
      <t xml:space="preserve"> </t>
    </r>
    <r>
      <rPr>
        <sz val="11"/>
        <rFont val="Arial"/>
        <family val="2"/>
      </rPr>
      <t xml:space="preserve">- 13/3/19 - Council approved £2.5K for roundabout maintenance.  June 2020 Reduced from £18746 to £11K based upon historic figures. Oct 20 noted £998 ambience fee for 2019/20 received late in 2020 which impacts figures - monitor. </t>
    </r>
    <r>
      <rPr>
        <b/>
        <sz val="11"/>
        <rFont val="Arial"/>
        <family val="2"/>
      </rPr>
      <t xml:space="preserve">Oct 20 move £1240 from NC 3022 re roundabouts + ongoing as from Oct 20 = £1020 + 250 p/m = £1270 p/m x 7 = £8890 + other £1000. Increase budget by £4000 + £1240 = £5240 to £16240. </t>
    </r>
    <r>
      <rPr>
        <sz val="11"/>
        <rFont val="Arial"/>
        <family val="2"/>
      </rPr>
      <t>Nov 22 approved £18,175 for 2023/24 based upon new contract due to 1/4/23 and original forward Plan applied a 3% increase for 23/24. The whole budget has been restructured to include a 16% increase against the current contract £12,220 x 16% = £14,175for Street Care in view of fuel and CPI levels + £4K for additional repairs and MCO materials.</t>
    </r>
    <r>
      <rPr>
        <b/>
        <u/>
        <sz val="11"/>
        <color rgb="FFFF3737"/>
        <rFont val="Arial"/>
        <family val="2"/>
      </rPr>
      <t xml:space="preserve"> March 23 approved Ambience £15275 for 23/24 - 3 year Non- Fixed Price contract allow 3% thereafter</t>
    </r>
    <r>
      <rPr>
        <sz val="11"/>
        <rFont val="Arial"/>
        <family val="2"/>
      </rPr>
      <t>.</t>
    </r>
    <r>
      <rPr>
        <u/>
        <sz val="11"/>
        <color rgb="FFFF3737"/>
        <rFont val="Arial"/>
        <family val="2"/>
      </rPr>
      <t xml:space="preserve"> </t>
    </r>
    <r>
      <rPr>
        <b/>
        <u/>
        <sz val="11"/>
        <color rgb="FFFF3737"/>
        <rFont val="Arial"/>
        <family val="2"/>
      </rPr>
      <t>Mar 23 - approved Prestige for flowerbeds on 3 roundabouts on 3 year NON FIXED PRICE £14500 p/a + 3% p/a- ends 31/3/26</t>
    </r>
    <r>
      <rPr>
        <sz val="11"/>
        <rFont val="Arial"/>
        <family val="2"/>
      </rPr>
      <t xml:space="preserve">. </t>
    </r>
    <r>
      <rPr>
        <b/>
        <sz val="11"/>
        <rFont val="Arial"/>
        <family val="2"/>
      </rPr>
      <t xml:space="preserve">Sept 24 Finance - Reduced from £33,655 to £25,655 = £33655 - £8000 roundabouts (leaves £6,500 for reduced roundabout work) based upon last years figures. </t>
    </r>
    <r>
      <rPr>
        <b/>
        <sz val="11"/>
        <color rgb="FFFF0000"/>
        <rFont val="Arial"/>
        <family val="2"/>
      </rPr>
      <t>Dec 25 Finance approved budget reduction  from £34,664 to £30K</t>
    </r>
    <r>
      <rPr>
        <b/>
        <sz val="11"/>
        <rFont val="Arial"/>
        <family val="2"/>
      </rPr>
      <t xml:space="preserve"> </t>
    </r>
    <r>
      <rPr>
        <b/>
        <sz val="11"/>
        <color rgb="FFFF0000"/>
        <rFont val="Arial"/>
        <family val="2"/>
      </rPr>
      <t xml:space="preserve">Jan 26 approved £2240 for bus shelter refurbs. </t>
    </r>
  </si>
  <si>
    <r>
      <t>Nominal budget. Est £800 for staff workwear + £200 for keys etc.</t>
    </r>
    <r>
      <rPr>
        <b/>
        <sz val="11"/>
        <color rgb="FFFF0000"/>
        <rFont val="Arial"/>
        <family val="2"/>
      </rPr>
      <t xml:space="preserve"> Dec 25 approved budget uplift to £1.3K</t>
    </r>
  </si>
  <si>
    <r>
      <t xml:space="preserve">Fixed price contract ends 31/10/18. Estimated budget based upon usage 4/8/16 - 27/7/17 = £3300 + 10% for Oct 2018 new contract + 5% contingency = </t>
    </r>
    <r>
      <rPr>
        <b/>
        <sz val="11"/>
        <rFont val="Arial"/>
        <family val="2"/>
      </rPr>
      <t>£2890</t>
    </r>
    <r>
      <rPr>
        <sz val="11"/>
        <rFont val="Arial"/>
        <family val="2"/>
      </rPr>
      <t xml:space="preserve"> (Note LED lighting has positively impact expenditure). New 3 year contract agreed 24/9/18 to run 1/11/18 - 2021 = £4,491 - Council advised 10/10/18.</t>
    </r>
    <r>
      <rPr>
        <sz val="11"/>
        <color rgb="FFFF0000"/>
        <rFont val="Arial"/>
        <family val="2"/>
      </rPr>
      <t xml:space="preserve"> Mar 2021 approved a new fixed Total Power &amp; Gas 3 yr fixed price contract 1/11/21 - 30/9/24 est @ £4,794.25 p/a.  </t>
    </r>
    <r>
      <rPr>
        <b/>
        <sz val="11"/>
        <color rgb="FFFF3737"/>
        <rFont val="Arial"/>
        <family val="2"/>
      </rPr>
      <t>25/10/23 Finance approved British Gas (3 year fixed price 1/10/24 - 30/9/27) @ £8,205.65 p/a</t>
    </r>
    <r>
      <rPr>
        <sz val="11"/>
        <rFont val="Arial"/>
        <family val="2"/>
      </rPr>
      <t xml:space="preserve">. </t>
    </r>
    <r>
      <rPr>
        <b/>
        <sz val="11"/>
        <rFont val="Arial"/>
        <family val="2"/>
      </rPr>
      <t>Nov 23 Council approved £6.5K budget for 24/25</t>
    </r>
    <r>
      <rPr>
        <b/>
        <sz val="11"/>
        <color theme="1"/>
        <rFont val="Arial"/>
        <family val="2"/>
      </rPr>
      <t xml:space="preserve"> .</t>
    </r>
    <r>
      <rPr>
        <b/>
        <sz val="11"/>
        <color rgb="FFFF0000"/>
        <rFont val="Arial"/>
        <family val="2"/>
      </rPr>
      <t xml:space="preserve"> Dec 25 Finance approved increase to £8K for 25/26 &amp;</t>
    </r>
    <r>
      <rPr>
        <sz val="11"/>
        <color rgb="FFFF0000"/>
        <rFont val="Arial"/>
        <family val="2"/>
      </rPr>
      <t xml:space="preserve"> </t>
    </r>
    <r>
      <rPr>
        <b/>
        <sz val="11"/>
        <color rgb="FFFF0000"/>
        <rFont val="Arial"/>
        <family val="2"/>
      </rPr>
      <t>Jan 25 approved £7K for 25/26</t>
    </r>
  </si>
  <si>
    <r>
      <t xml:space="preserve">Kitchen installation for Orchard Room - from 2016 Strategic Planning funded from N/C 3012. </t>
    </r>
    <r>
      <rPr>
        <b/>
        <sz val="11"/>
        <rFont val="Arial"/>
        <family val="2"/>
      </rPr>
      <t>July 23 Finance approved Cherry Room kitchen @ £7909.80 + Elm Room kitchen @ £8332.03 = £16,241.83 from N/C 3012</t>
    </r>
    <r>
      <rPr>
        <sz val="11"/>
        <rFont val="Arial"/>
        <family val="2"/>
      </rPr>
      <t xml:space="preserve"> - </t>
    </r>
    <r>
      <rPr>
        <b/>
        <u/>
        <sz val="11"/>
        <rFont val="Arial"/>
        <family val="2"/>
      </rPr>
      <t>Aug 23 £5815.44 tfrd from N/C 3012 re kitchen deposits</t>
    </r>
    <r>
      <rPr>
        <sz val="11"/>
        <rFont val="Arial"/>
        <family val="2"/>
      </rPr>
      <t xml:space="preserve">.  Dec 23 £11,100.43 tfrd from NC 3012 to cover kitchen installations. </t>
    </r>
    <r>
      <rPr>
        <b/>
        <sz val="11"/>
        <color rgb="FFFF0000"/>
        <rFont val="Arial"/>
        <family val="2"/>
      </rPr>
      <t>June 24 Council approved £4614 from N/C 3012 for Feasibility Study re BC Development - Cancelled</t>
    </r>
    <r>
      <rPr>
        <sz val="11"/>
        <rFont val="Arial"/>
        <family val="2"/>
      </rPr>
      <t xml:space="preserve">. </t>
    </r>
    <r>
      <rPr>
        <u/>
        <sz val="11"/>
        <color rgb="FFFF0000"/>
        <rFont val="Arial"/>
        <family val="2"/>
      </rPr>
      <t>Oct Council 24 approved Stage 1 + 2 architect info gathering - £1500</t>
    </r>
    <r>
      <rPr>
        <sz val="11"/>
        <rFont val="Arial"/>
        <family val="2"/>
      </rPr>
      <t xml:space="preserve">. </t>
    </r>
    <r>
      <rPr>
        <b/>
        <sz val="11"/>
        <color theme="1"/>
        <rFont val="Arial"/>
        <family val="2"/>
      </rPr>
      <t xml:space="preserve">March 25 Finance approved increaseing budget by £16,396 to £20,000 for the 25/26 budget to cover architect, consultation and survey fees - </t>
    </r>
    <r>
      <rPr>
        <b/>
        <sz val="11"/>
        <color rgb="FFFF0000"/>
        <rFont val="Arial"/>
        <family val="2"/>
      </rPr>
      <t>funded from 24/25 year end surplus including 24/25 CIL Funding of £13,31.52 which had been accrued- approved by May 25 Finance</t>
    </r>
    <r>
      <rPr>
        <sz val="11"/>
        <color rgb="FFFF0000"/>
        <rFont val="Arial"/>
        <family val="2"/>
      </rPr>
      <t xml:space="preserve">. </t>
    </r>
    <r>
      <rPr>
        <b/>
        <sz val="11"/>
        <color rgb="FFFF0000"/>
        <rFont val="Arial"/>
        <family val="2"/>
      </rPr>
      <t>See also  N/C 3008</t>
    </r>
    <r>
      <rPr>
        <sz val="11"/>
        <rFont val="Arial"/>
        <family val="2"/>
      </rPr>
      <t xml:space="preserve">.  </t>
    </r>
    <r>
      <rPr>
        <b/>
        <sz val="11"/>
        <color rgb="FFC00000"/>
        <rFont val="Arial"/>
        <family val="2"/>
      </rPr>
      <t>Jan 26 Finance agreed £6350 for RPA stages 1-3.</t>
    </r>
  </si>
  <si>
    <t>2025/26 - To Jan 26 Finance</t>
  </si>
  <si>
    <r>
      <t xml:space="preserve">Playground annual inspection est </t>
    </r>
    <r>
      <rPr>
        <b/>
        <sz val="11"/>
        <rFont val="Arial"/>
        <family val="2"/>
      </rPr>
      <t>£450</t>
    </r>
    <r>
      <rPr>
        <sz val="11"/>
        <rFont val="Arial"/>
        <family val="2"/>
      </rPr>
      <t xml:space="preserve"> + callibrate + PAT testing sites @ </t>
    </r>
    <r>
      <rPr>
        <b/>
        <sz val="11"/>
        <rFont val="Arial"/>
        <family val="2"/>
      </rPr>
      <t xml:space="preserve">£200 </t>
    </r>
    <r>
      <rPr>
        <sz val="11"/>
        <rFont val="Arial"/>
        <family val="2"/>
      </rPr>
      <t xml:space="preserve">+ all sites  water thermometer calibration est </t>
    </r>
    <r>
      <rPr>
        <b/>
        <sz val="11"/>
        <rFont val="Arial"/>
        <family val="2"/>
      </rPr>
      <t>£200</t>
    </r>
    <r>
      <rPr>
        <sz val="11"/>
        <rFont val="Arial"/>
        <family val="2"/>
      </rPr>
      <t xml:space="preserve">+ sharps boxes etc + other H&amp;S items etc </t>
    </r>
    <r>
      <rPr>
        <b/>
        <sz val="11"/>
        <rFont val="Arial"/>
        <family val="2"/>
      </rPr>
      <t xml:space="preserve">£500. 21/11/18 council reduced budget. </t>
    </r>
    <r>
      <rPr>
        <b/>
        <sz val="11"/>
        <color rgb="FFFF0000"/>
        <rFont val="Arial"/>
        <family val="2"/>
      </rPr>
      <t>Oct 2020 Covid 19 Budget added based upon May - Aug 20 costs = £1300 X 4 = £325 p/m = £5200 p/a therefore 2020/21 budget = £325 x 6 = £1950 + £1300 spent ot date + £500 = £3750</t>
    </r>
    <r>
      <rPr>
        <sz val="11"/>
        <color rgb="FFFF3737"/>
        <rFont val="Arial"/>
        <family val="2"/>
      </rPr>
      <t xml:space="preserve"> &amp; </t>
    </r>
    <r>
      <rPr>
        <sz val="11"/>
        <color rgb="FF002060"/>
        <rFont val="Arial"/>
        <family val="2"/>
      </rPr>
      <t>2021/22 =  £1300 for main H&amp;S + £4000 for covid = £5400</t>
    </r>
    <r>
      <rPr>
        <sz val="11"/>
        <rFont val="Arial"/>
        <family val="2"/>
      </rPr>
      <t xml:space="preserve">. Nov 21 - £1580  for office reception screen and door (security). </t>
    </r>
    <r>
      <rPr>
        <b/>
        <sz val="11"/>
        <color rgb="FFFF0000"/>
        <rFont val="Arial"/>
        <family val="2"/>
      </rPr>
      <t>Sept 24 finance approved budget reduction from £3K to £1500</t>
    </r>
    <r>
      <rPr>
        <sz val="11"/>
        <rFont val="Arial"/>
        <family val="2"/>
      </rPr>
      <t xml:space="preserve">. </t>
    </r>
    <r>
      <rPr>
        <b/>
        <sz val="11"/>
        <color rgb="FFC00000"/>
        <rFont val="Arial"/>
        <family val="2"/>
      </rPr>
      <t xml:space="preserve">Jan 26 Finance approved £2437 for Lagionella assessment from 6041,7041,8041,5600 </t>
    </r>
  </si>
  <si>
    <r>
      <t>A1  1 Year contract fixed to 31/5/21 (agreed May 20) =</t>
    </r>
    <r>
      <rPr>
        <u/>
        <sz val="11"/>
        <rFont val="Arial"/>
        <family val="2"/>
      </rPr>
      <t xml:space="preserve"> £4450</t>
    </r>
    <r>
      <rPr>
        <sz val="11"/>
        <rFont val="Arial"/>
        <family val="2"/>
      </rPr>
      <t xml:space="preserve"> + BS1 20 shutter contract 1/10/16 - 7/9/2021 Fixed @ £60 p/a (approved 10/10/18)  + other general repairs, decorating estimate = £11,000 inc service &amp; maintenance of moveable wall.Sept Council approved replacing circuit board using N/C 3089 if required. Oct Finance approved Circuit board @£1560 ffrom /C 3089 if required at year end.  June 2020 Finance Reduced from £16K to £15K Based on historic figures. Nov 20 approved tree maintenance @ £1300 from NC 6041 - £1300 budget moved to NC 6046.  </t>
    </r>
    <r>
      <rPr>
        <u/>
        <sz val="11"/>
        <rFont val="Arial"/>
        <family val="2"/>
      </rPr>
      <t>2021/22</t>
    </r>
    <r>
      <rPr>
        <sz val="11"/>
        <rFont val="Arial"/>
        <family val="2"/>
      </rPr>
      <t xml:space="preserve"> based upon  £4450 + £60 + 3% = £4646 + £11000. April 21 - A1 Maintenance approved @ £4450  (3 year fixed 1/6/21 - 31/5/24). Jan 22 reduce by £1500 to fund 7046 carpark repairs.                                                                                                                </t>
    </r>
    <r>
      <rPr>
        <b/>
        <u/>
        <sz val="11"/>
        <rFont val="Arial"/>
        <family val="2"/>
      </rPr>
      <t>2022/23 -</t>
    </r>
    <r>
      <rPr>
        <sz val="11"/>
        <rFont val="Arial"/>
        <family val="2"/>
      </rPr>
      <t xml:space="preserve"> April 21 - A1 Maintenance approved @ </t>
    </r>
    <r>
      <rPr>
        <b/>
        <sz val="11"/>
        <rFont val="Arial"/>
        <family val="2"/>
      </rPr>
      <t>£4450</t>
    </r>
    <r>
      <rPr>
        <sz val="11"/>
        <rFont val="Arial"/>
        <family val="2"/>
      </rPr>
      <t xml:space="preserve">  (3 year fixed 1/6/21 - 31/5/24) + BS shutter contract </t>
    </r>
    <r>
      <rPr>
        <b/>
        <sz val="11"/>
        <rFont val="Arial"/>
        <family val="2"/>
      </rPr>
      <t>£59.02</t>
    </r>
    <r>
      <rPr>
        <sz val="11"/>
        <rFont val="Arial"/>
        <family val="2"/>
      </rPr>
      <t xml:space="preserve"> p/a fixed to 7/6/24 (approved June 21) + </t>
    </r>
    <r>
      <rPr>
        <b/>
        <sz val="11"/>
        <rFont val="Arial"/>
        <family val="2"/>
      </rPr>
      <t xml:space="preserve">£11,000. Aug 22 - approved £1480 to replace shutter motor.                                                                            </t>
    </r>
    <r>
      <rPr>
        <b/>
        <u/>
        <sz val="11"/>
        <rFont val="Arial"/>
        <family val="2"/>
      </rPr>
      <t>2023/24</t>
    </r>
    <r>
      <rPr>
        <b/>
        <sz val="11"/>
        <rFont val="Arial"/>
        <family val="2"/>
      </rPr>
      <t xml:space="preserve"> -  May 23 Year end reduction based upon 2022/23 year end actual figures - £4450 + £60 + decorating/repairs est £5,490.</t>
    </r>
    <r>
      <rPr>
        <sz val="11"/>
        <rFont val="Arial"/>
        <family val="2"/>
      </rPr>
      <t xml:space="preserve"> June 23 approved £2325 to replace gravity water feed. </t>
    </r>
    <r>
      <rPr>
        <b/>
        <sz val="11"/>
        <color rgb="FFFF0000"/>
        <rFont val="Arial"/>
        <family val="2"/>
      </rPr>
      <t xml:space="preserve">24/25 - May 24 Finance approved BW roof fix @ £10K from reserves (N/C3012) + A1 3 year contract (1/6/24 - 31/5/27) £4584 Yr 1, £4721 Yr 2 &amp; £4863 Yr 3 + Repairs/Maintenance est £10K. </t>
    </r>
    <r>
      <rPr>
        <sz val="11"/>
        <color rgb="FFFF0000"/>
        <rFont val="Arial"/>
        <family val="2"/>
      </rPr>
      <t xml:space="preserve">23/10/24 Finance approved £2079.14 per site for security measures from N/C 3012. </t>
    </r>
    <r>
      <rPr>
        <b/>
        <sz val="11"/>
        <color rgb="FFFF0000"/>
        <rFont val="Arial"/>
        <family val="2"/>
      </rPr>
      <t xml:space="preserve">Nov 25 Finance -  Replace main door @ £3995. </t>
    </r>
    <r>
      <rPr>
        <b/>
        <sz val="11"/>
        <color rgb="FFC00000"/>
        <rFont val="Arial"/>
        <family val="2"/>
      </rPr>
      <t xml:space="preserve">Jan 26 Finance moved £693 to N/C 5017 re Legionella Assessment     </t>
    </r>
    <r>
      <rPr>
        <b/>
        <sz val="11"/>
        <color rgb="FFFF0000"/>
        <rFont val="Arial"/>
        <family val="2"/>
      </rPr>
      <t xml:space="preserve">    </t>
    </r>
    <r>
      <rPr>
        <sz val="11"/>
        <color rgb="FFFF0000"/>
        <rFont val="Arial"/>
        <family val="2"/>
      </rPr>
      <t xml:space="preserve">      </t>
    </r>
    <r>
      <rPr>
        <b/>
        <sz val="11"/>
        <color rgb="FFFF0000"/>
        <rFont val="Arial"/>
        <family val="2"/>
      </rPr>
      <t xml:space="preserve">                                                                        </t>
    </r>
  </si>
  <si>
    <r>
      <rPr>
        <sz val="11"/>
        <rFont val="Arial"/>
        <family val="2"/>
      </rPr>
      <t>A1 1 Year contract fixed to 31/5/21 (agreed 20/5/20) =</t>
    </r>
    <r>
      <rPr>
        <b/>
        <sz val="11"/>
        <rFont val="Arial"/>
        <family val="2"/>
      </rPr>
      <t xml:space="preserve"> £8200 </t>
    </r>
    <r>
      <rPr>
        <sz val="11"/>
        <rFont val="Arial"/>
        <family val="2"/>
      </rPr>
      <t xml:space="preserve">increased from £6722 + BS1 for 23 shutter contract 27/9/18 - 7/6/21 fixed @ </t>
    </r>
    <r>
      <rPr>
        <b/>
        <sz val="11"/>
        <rFont val="Arial"/>
        <family val="2"/>
      </rPr>
      <t xml:space="preserve">£453 </t>
    </r>
    <r>
      <rPr>
        <sz val="11"/>
        <rFont val="Arial"/>
        <family val="2"/>
      </rPr>
      <t xml:space="preserve">p/a (approved 10/10/18) + other general repairs/ decorating etc estimate = </t>
    </r>
    <r>
      <rPr>
        <b/>
        <sz val="11"/>
        <rFont val="Arial"/>
        <family val="2"/>
      </rPr>
      <t>£15,000</t>
    </r>
    <r>
      <rPr>
        <sz val="11"/>
        <rFont val="Arial"/>
        <family val="2"/>
      </rPr>
      <t xml:space="preserve"> including service of moveable wall.  June 2020 Finance Reduced from £30773 Based historic figures. July 2020 council approved £700 temporary roof repair.  2021/22 based upon £8200 + £453 + 3% + £15000. April 21 - A1 Maintenance approved @ £8200  (3 year fixed 1/6/21 - 31/5/24).</t>
    </r>
    <r>
      <rPr>
        <b/>
        <sz val="11"/>
        <rFont val="Arial"/>
        <family val="2"/>
      </rPr>
      <t xml:space="preserve"> Jan 24 </t>
    </r>
    <r>
      <rPr>
        <b/>
        <sz val="11"/>
        <color rgb="FFFF0000"/>
        <rFont val="Arial"/>
        <family val="2"/>
      </rPr>
      <t>Council approved £10K to repair roof . Feb 24 increased to  £17526 from N/C 3012 &amp; repay at year end</t>
    </r>
    <r>
      <rPr>
        <sz val="11"/>
        <color rgb="FFFF0000"/>
        <rFont val="Arial"/>
        <family val="2"/>
      </rPr>
      <t xml:space="preserve">. </t>
    </r>
    <r>
      <rPr>
        <u/>
        <sz val="11"/>
        <color rgb="FFFF0000"/>
        <rFont val="Arial"/>
        <family val="2"/>
      </rPr>
      <t xml:space="preserve">May 24 Finance approved  A1 3 year contract (1/6/24 - 31/5/27) £8446 Yr 1, £8699 Yr 2 &amp; £8960 Yr 3 + Repairs/Maintenance est £15K. </t>
    </r>
    <r>
      <rPr>
        <b/>
        <sz val="11"/>
        <color rgb="FFFF0000"/>
        <rFont val="Arial"/>
        <family val="2"/>
      </rPr>
      <t xml:space="preserve">23/10/24 Finance approved £2079.14 per site for security measures from N/C 3012 + £1660 to repair roof near clock direct from NC 8041.  </t>
    </r>
    <r>
      <rPr>
        <sz val="11"/>
        <color rgb="FFFF0000"/>
        <rFont val="Arial"/>
        <family val="2"/>
      </rPr>
      <t xml:space="preserve">Nov 25  Finance approved BC  Elm Floor @ £5939.60 from N/C 3012. </t>
    </r>
    <r>
      <rPr>
        <b/>
        <sz val="11"/>
        <color rgb="FFC00000"/>
        <rFont val="Arial"/>
        <family val="2"/>
      </rPr>
      <t xml:space="preserve">Jan 26 Finance moved £693 to N/C 5017 re Legionella Assessment                        </t>
    </r>
  </si>
  <si>
    <r>
      <rPr>
        <sz val="11"/>
        <color rgb="FFFF3737"/>
        <rFont val="Arial"/>
        <family val="2"/>
      </rPr>
      <t xml:space="preserve">Water + Electricity = </t>
    </r>
    <r>
      <rPr>
        <b/>
        <sz val="11"/>
        <color rgb="FFFF3737"/>
        <rFont val="Arial"/>
        <family val="2"/>
      </rPr>
      <t>£3000</t>
    </r>
    <r>
      <rPr>
        <sz val="11"/>
        <color rgb="FFFF3737"/>
        <rFont val="Arial"/>
        <family val="2"/>
      </rPr>
      <t xml:space="preserve"> (£2K paid 2019/20). Licences - MPL -</t>
    </r>
    <r>
      <rPr>
        <b/>
        <sz val="11"/>
        <color rgb="FFFF3737"/>
        <rFont val="Arial"/>
        <family val="2"/>
      </rPr>
      <t xml:space="preserve"> £200</t>
    </r>
    <r>
      <rPr>
        <sz val="11"/>
        <color rgb="FFFF3737"/>
        <rFont val="Arial"/>
        <family val="2"/>
      </rPr>
      <t xml:space="preserve">, PPL/PRS = </t>
    </r>
    <r>
      <rPr>
        <b/>
        <sz val="11"/>
        <color rgb="FFFF3737"/>
        <rFont val="Arial"/>
        <family val="2"/>
      </rPr>
      <t>£1100,</t>
    </r>
    <r>
      <rPr>
        <sz val="11"/>
        <rFont val="Arial"/>
        <family val="2"/>
      </rPr>
      <t xml:space="preserve"> BS1 fixed price to 7/6/2021- CCTV &amp; access maintenance - £150 p/a  + Fire £180 p/a + alarm £180 p/a = £510 + 3%</t>
    </r>
    <r>
      <rPr>
        <b/>
        <sz val="11"/>
        <rFont val="Arial"/>
        <family val="2"/>
      </rPr>
      <t xml:space="preserve"> = £525</t>
    </r>
    <r>
      <rPr>
        <sz val="11"/>
        <rFont val="Arial"/>
        <family val="2"/>
      </rPr>
      <t xml:space="preserve">. </t>
    </r>
    <r>
      <rPr>
        <sz val="11"/>
        <color rgb="FFFF3737"/>
        <rFont val="Arial"/>
        <family val="2"/>
      </rPr>
      <t xml:space="preserve">Weekend bin empty £20 p/w = </t>
    </r>
    <r>
      <rPr>
        <b/>
        <sz val="11"/>
        <color rgb="FFFF3737"/>
        <rFont val="Arial"/>
        <family val="2"/>
      </rPr>
      <t>£1040</t>
    </r>
    <r>
      <rPr>
        <b/>
        <sz val="11"/>
        <rFont val="Arial"/>
        <family val="2"/>
      </rPr>
      <t xml:space="preserve">. </t>
    </r>
    <r>
      <rPr>
        <sz val="11"/>
        <color rgb="FFFF3737"/>
        <rFont val="Arial"/>
        <family val="2"/>
      </rPr>
      <t xml:space="preserve"> Cleaning contract - 2 hrs p/w  = </t>
    </r>
    <r>
      <rPr>
        <b/>
        <sz val="11"/>
        <color rgb="FFFF3737"/>
        <rFont val="Arial"/>
        <family val="2"/>
      </rPr>
      <t>£1716</t>
    </r>
    <r>
      <rPr>
        <sz val="11"/>
        <color rgb="FFFF3737"/>
        <rFont val="Arial"/>
        <family val="2"/>
      </rPr>
      <t xml:space="preserve"> p/a agreed Nov 22 (fixed 1/12/22 -30/11/25).</t>
    </r>
    <r>
      <rPr>
        <sz val="11"/>
        <rFont val="Arial"/>
        <family val="2"/>
      </rPr>
      <t xml:space="preserve"> Hygiene Waste contract -TBA but est</t>
    </r>
    <r>
      <rPr>
        <b/>
        <sz val="11"/>
        <rFont val="Arial"/>
        <family val="2"/>
      </rPr>
      <t xml:space="preserve"> £200</t>
    </r>
    <r>
      <rPr>
        <sz val="11"/>
        <rFont val="Arial"/>
        <family val="2"/>
      </rPr>
      <t xml:space="preserve">. General and recycling waste -TBA , </t>
    </r>
    <r>
      <rPr>
        <sz val="11"/>
        <color rgb="FFFF3737"/>
        <rFont val="Arial"/>
        <family val="2"/>
      </rPr>
      <t xml:space="preserve">Broadband- est </t>
    </r>
    <r>
      <rPr>
        <b/>
        <sz val="11"/>
        <color rgb="FFFF3737"/>
        <rFont val="Arial"/>
        <family val="2"/>
      </rPr>
      <t>£400</t>
    </r>
    <r>
      <rPr>
        <sz val="11"/>
        <rFont val="Arial"/>
        <family val="2"/>
      </rPr>
      <t xml:space="preserve">..2021/22 budget estimated =  £7520. </t>
    </r>
    <r>
      <rPr>
        <sz val="11"/>
        <color rgb="FFFF3737"/>
        <rFont val="Arial"/>
        <family val="2"/>
      </rPr>
      <t xml:space="preserve">April 21 - A1 Maintenance approved @ </t>
    </r>
    <r>
      <rPr>
        <b/>
        <sz val="11"/>
        <color rgb="FFFF3737"/>
        <rFont val="Arial"/>
        <family val="2"/>
      </rPr>
      <t>£950</t>
    </r>
    <r>
      <rPr>
        <sz val="11"/>
        <color rgb="FFFF3737"/>
        <rFont val="Arial"/>
        <family val="2"/>
      </rPr>
      <t xml:space="preserve">  (3 year fixed 1/6/21 - 31/5/24) </t>
    </r>
    <r>
      <rPr>
        <b/>
        <sz val="11"/>
        <color rgb="FFFF3737"/>
        <rFont val="Arial"/>
        <family val="2"/>
      </rPr>
      <t>.  June 21</t>
    </r>
    <r>
      <rPr>
        <sz val="11"/>
        <color rgb="FFFF3737"/>
        <rFont val="Arial"/>
        <family val="2"/>
      </rPr>
      <t>-</t>
    </r>
    <r>
      <rPr>
        <sz val="11"/>
        <rFont val="Arial"/>
        <family val="2"/>
      </rPr>
      <t xml:space="preserve"> Fire &amp; Intruder - BS1 fire £510 19/12/18 - 7/6/21 + updated Dec 21 Intruder</t>
    </r>
    <r>
      <rPr>
        <b/>
        <sz val="11"/>
        <rFont val="Arial"/>
        <family val="2"/>
      </rPr>
      <t xml:space="preserve"> £456 </t>
    </r>
    <r>
      <rPr>
        <sz val="11"/>
        <rFont val="Arial"/>
        <family val="2"/>
      </rPr>
      <t>+ CCTV £</t>
    </r>
    <r>
      <rPr>
        <b/>
        <sz val="11"/>
        <rFont val="Arial"/>
        <family val="2"/>
      </rPr>
      <t>150</t>
    </r>
    <r>
      <rPr>
        <sz val="11"/>
        <rFont val="Arial"/>
        <family val="2"/>
      </rPr>
      <t xml:space="preserve"> 23/1/22 - 7/6/24.   Relyon key hldg contract (1/2/22 - 31/1/25 agreed Jan 22  Council - fixed price) = £150 + £35 call out.</t>
    </r>
    <r>
      <rPr>
        <b/>
        <sz val="11"/>
        <rFont val="Arial"/>
        <family val="2"/>
      </rPr>
      <t xml:space="preserve"> Legionella check added 1/4/22 - £250 p/a wef June 22 - 23  + </t>
    </r>
    <r>
      <rPr>
        <sz val="11"/>
        <color rgb="FFFF3737"/>
        <rFont val="Arial"/>
        <family val="2"/>
      </rPr>
      <t>Prestige ground maintenance 1/4/22 - 31/3/23 = £596</t>
    </r>
    <r>
      <rPr>
        <b/>
        <sz val="11"/>
        <rFont val="Arial"/>
        <family val="2"/>
      </rPr>
      <t xml:space="preserve">.    May 24 council approved ring fencing any 23/24 unspent youth budget at year end - £23,745.25 from N/C 5500 + 5600 added to reserve N/C 3079 as per year end position itemised in audit file- Budget reduced to £7015.78. 31.3.24 £1020 trfrd to N/C 5060 re year end payroll adjustments.  </t>
    </r>
    <r>
      <rPr>
        <b/>
        <sz val="11"/>
        <color rgb="FFFF3737"/>
        <rFont val="Arial"/>
        <family val="2"/>
      </rPr>
      <t>Any additional required funds will be moved from the core funding N/C 5500 or youth reserves as when required</t>
    </r>
    <r>
      <rPr>
        <sz val="11"/>
        <color rgb="FFFF3737"/>
        <rFont val="Arial"/>
        <family val="2"/>
      </rPr>
      <t xml:space="preserve">. May 24 - Finance approved Shield 3 year fixed contract (8/6/24 -7/6/27) £356 p/a alarms + £80 p/a CCTV + A1 3 year contract 1/6/24 - 31/5/27 £979 Yr 1, £1008 Yr 2 &amp; £1038 Yr 3. </t>
    </r>
    <r>
      <rPr>
        <b/>
        <sz val="11"/>
        <color rgb="FFFF3737"/>
        <rFont val="Arial"/>
        <family val="2"/>
      </rPr>
      <t xml:space="preserve">Jan 25 Council approved Relyon key hldg 3 year fixed contract (1/2/25 - 31/1/28) = £125 p/a + £42.50 call out.   </t>
    </r>
    <r>
      <rPr>
        <b/>
        <sz val="11"/>
        <color rgb="FFC00000"/>
        <rFont val="Arial"/>
        <family val="2"/>
      </rPr>
      <t xml:space="preserve">Jan 26 Finance moved £245 to N/C 5017 re Legionella Assessment   </t>
    </r>
    <r>
      <rPr>
        <b/>
        <sz val="11"/>
        <color rgb="FFFF3737"/>
        <rFont val="Arial"/>
        <family val="2"/>
      </rPr>
      <t xml:space="preserve">                     </t>
    </r>
    <r>
      <rPr>
        <sz val="11"/>
        <color rgb="FFFF3737"/>
        <rFont val="Arial"/>
        <family val="2"/>
      </rPr>
      <t xml:space="preserve">    </t>
    </r>
    <r>
      <rPr>
        <b/>
        <sz val="11"/>
        <rFont val="Arial"/>
        <family val="2"/>
      </rPr>
      <t xml:space="preserve">                                                </t>
    </r>
    <r>
      <rPr>
        <sz val="11"/>
        <rFont val="Arial"/>
        <family val="2"/>
      </rPr>
      <t xml:space="preserve">                </t>
    </r>
  </si>
  <si>
    <r>
      <rPr>
        <b/>
        <u/>
        <sz val="11"/>
        <rFont val="Arial"/>
        <family val="2"/>
      </rPr>
      <t>June 2020 Finance Reduced from £35,078 to allow some works to proceed but reduced general costs based on prior 3 year years</t>
    </r>
    <r>
      <rPr>
        <sz val="11"/>
        <rFont val="Arial"/>
        <family val="2"/>
      </rPr>
      <t xml:space="preserve">. Oct 20 -  A1 Contract split between JC + office - £1500 budget moved to NC 5041. </t>
    </r>
    <r>
      <rPr>
        <b/>
        <u/>
        <sz val="11"/>
        <rFont val="Arial"/>
        <family val="2"/>
      </rPr>
      <t xml:space="preserve">2021/22 - </t>
    </r>
    <r>
      <rPr>
        <sz val="11"/>
        <rFont val="Arial"/>
        <family val="2"/>
      </rPr>
      <t xml:space="preserve"> based upon £7850 + £394 + 3% = £8491 + £15000.  April 21 - A1 Maintenance approved @ £4K - JC + £3850 JC CR=</t>
    </r>
    <r>
      <rPr>
        <b/>
        <sz val="11"/>
        <rFont val="Arial"/>
        <family val="2"/>
      </rPr>
      <t xml:space="preserve"> £7850</t>
    </r>
    <r>
      <rPr>
        <sz val="11"/>
        <rFont val="Arial"/>
        <family val="2"/>
      </rPr>
      <t xml:space="preserve">  (3 year fixed 1/6/21 - 31/5/24). June 21 BS1 shutters </t>
    </r>
    <r>
      <rPr>
        <b/>
        <sz val="11"/>
        <rFont val="Arial"/>
        <family val="2"/>
      </rPr>
      <t>£393.44</t>
    </r>
    <r>
      <rPr>
        <sz val="11"/>
        <rFont val="Arial"/>
        <family val="2"/>
      </rPr>
      <t xml:space="preserve"> fixed to 7/6/24. </t>
    </r>
    <r>
      <rPr>
        <b/>
        <sz val="11"/>
        <rFont val="Arial"/>
        <family val="2"/>
      </rPr>
      <t xml:space="preserve">Nov 21 - Budget increased by £5K to cover 50% of £10K Woodland Suite Kitchen Refurb in 2021/22.                                                                                                                               </t>
    </r>
    <r>
      <rPr>
        <b/>
        <u/>
        <sz val="11"/>
        <color theme="1"/>
        <rFont val="Arial"/>
        <family val="2"/>
      </rPr>
      <t xml:space="preserve">2022/23 </t>
    </r>
    <r>
      <rPr>
        <sz val="11"/>
        <color theme="1"/>
        <rFont val="Arial"/>
        <family val="2"/>
      </rPr>
      <t xml:space="preserve">- April 21 - A1 Maintenance approved @ £4K - JC + £3850 JC CR= </t>
    </r>
    <r>
      <rPr>
        <b/>
        <sz val="11"/>
        <color theme="1"/>
        <rFont val="Arial"/>
        <family val="2"/>
      </rPr>
      <t>£7850</t>
    </r>
    <r>
      <rPr>
        <sz val="11"/>
        <color theme="1"/>
        <rFont val="Arial"/>
        <family val="2"/>
      </rPr>
      <t xml:space="preserve">  (3 year fixed 1/6/21 - 31/5/24 (offices separate see NC 5041). BS1 -  shutter contract 1/10/16 - 7/9/2021) +  BS1 shutters </t>
    </r>
    <r>
      <rPr>
        <b/>
        <sz val="11"/>
        <color theme="1"/>
        <rFont val="Arial"/>
        <family val="2"/>
      </rPr>
      <t>£393.44</t>
    </r>
    <r>
      <rPr>
        <sz val="11"/>
        <color theme="1"/>
        <rFont val="Arial"/>
        <family val="2"/>
      </rPr>
      <t xml:space="preserve"> fixed to 7/6/24  + </t>
    </r>
    <r>
      <rPr>
        <b/>
        <sz val="11"/>
        <color theme="1"/>
        <rFont val="Arial"/>
        <family val="2"/>
      </rPr>
      <t>£15000</t>
    </r>
    <r>
      <rPr>
        <sz val="11"/>
        <color theme="1"/>
        <rFont val="Arial"/>
        <family val="2"/>
      </rPr>
      <t xml:space="preserve">. </t>
    </r>
    <r>
      <rPr>
        <b/>
        <sz val="11"/>
        <color theme="1"/>
        <rFont val="Arial"/>
        <family val="2"/>
      </rPr>
      <t xml:space="preserve">May 22 -Reduce 2021/22 from £28500 to £23000 and move £5500 to 2022/23 for Woodland kitchen increased to £15.5K total 2022/23 budget increased from £23,244 to £38,744. May 24 - Finance approved A1 3 year contract (1/6/24 - 31/5/27) JC + CR - £8687 Yr 1, £8947 Yr 2 &amp; £9215 Yr 3 + £15K estimated repairs &amp; call outs etc. </t>
    </r>
    <r>
      <rPr>
        <sz val="11"/>
        <color theme="1"/>
        <rFont val="Arial"/>
        <family val="2"/>
      </rPr>
      <t>23/10/24 Finance approved £2079.14 per site for security measures from N/C 3012</t>
    </r>
    <r>
      <rPr>
        <sz val="11"/>
        <color rgb="FFFF0000"/>
        <rFont val="Arial"/>
        <family val="2"/>
      </rPr>
      <t xml:space="preserve">. </t>
    </r>
    <r>
      <rPr>
        <b/>
        <sz val="11"/>
        <color rgb="FFFF0000"/>
        <rFont val="Arial"/>
        <family val="2"/>
      </rPr>
      <t>July 25 Council approved £9K to replace Oak Hall patio doors amended to £10.2K by July Finance - see N/C 3012.</t>
    </r>
    <r>
      <rPr>
        <sz val="11"/>
        <color rgb="FFFF0000"/>
        <rFont val="Arial"/>
        <family val="2"/>
      </rPr>
      <t xml:space="preserve"> Dec 25 Finance approved  repainting woodwork + foyer @ £1986 + Woodland Suite @ £1877 amended from Nov 25 decision. Dec Finance approved new Oak Hall Shutter @ £4150 from N/C 3012. </t>
    </r>
    <r>
      <rPr>
        <b/>
        <sz val="11"/>
        <color rgb="FFC00000"/>
        <rFont val="Arial"/>
        <family val="2"/>
      </rPr>
      <t xml:space="preserve"> Jan 26 Finance moved £806 to N/C 5017 re Legionella Assessment           </t>
    </r>
    <r>
      <rPr>
        <b/>
        <sz val="11"/>
        <color rgb="FFFF0000"/>
        <rFont val="Arial"/>
        <family val="2"/>
      </rPr>
      <t xml:space="preserve">                        </t>
    </r>
  </si>
  <si>
    <r>
      <t xml:space="preserve">Main building on fixed price contract until 31/10/18. Changing room switched to new contract 12/1/16. Budget based upon usage Aug 16 - 17 = £5100 + 5% contingency + 10%  uplift for new contract in Oct 2018 =  £5900. New 3 year contract agreed 24/9/18 to run 1/11/18 - 2021 = £6372.28 including office  - Council advised 10/10/18. </t>
    </r>
    <r>
      <rPr>
        <b/>
        <sz val="11"/>
        <rFont val="Arial"/>
        <family val="2"/>
      </rPr>
      <t>Oct 20 budget of £1000 moved from Office NC 5031 as bills not apportioned</t>
    </r>
    <r>
      <rPr>
        <sz val="11"/>
        <rFont val="Arial"/>
        <family val="2"/>
      </rPr>
      <t xml:space="preserve">. </t>
    </r>
    <r>
      <rPr>
        <sz val="11"/>
        <color rgb="FFFF0000"/>
        <rFont val="Arial"/>
        <family val="2"/>
      </rPr>
      <t xml:space="preserve">Mar 2021 approved a new fixed Total Power &amp; Gas 3 yr fixed price contract 1/11/21 - 30/9/24 est JC @ £4872 + CR @ £348.53 p/a. </t>
    </r>
    <r>
      <rPr>
        <b/>
        <sz val="11"/>
        <rFont val="Arial"/>
        <family val="2"/>
      </rPr>
      <t>May 22 decreased budget to £7K</t>
    </r>
    <r>
      <rPr>
        <sz val="11"/>
        <rFont val="Arial"/>
        <family val="2"/>
      </rPr>
      <t xml:space="preserve">. </t>
    </r>
    <r>
      <rPr>
        <b/>
        <sz val="11"/>
        <color rgb="FFFF3737"/>
        <rFont val="Arial"/>
        <family val="2"/>
      </rPr>
      <t>25/10/23 Finance approved British Gas (3 year fixed price 1/10/24 - 30/9/27) @ £13,556.79 p/a inc office &amp; CR</t>
    </r>
    <r>
      <rPr>
        <sz val="11"/>
        <rFont val="Arial"/>
        <family val="2"/>
      </rPr>
      <t xml:space="preserve">. </t>
    </r>
    <r>
      <rPr>
        <b/>
        <sz val="11"/>
        <rFont val="Arial"/>
        <family val="2"/>
      </rPr>
      <t>£10K budget approved Nov 23 for 24/25.</t>
    </r>
    <r>
      <rPr>
        <b/>
        <sz val="11"/>
        <color rgb="FFFF0000"/>
        <rFont val="Arial"/>
        <family val="2"/>
      </rPr>
      <t xml:space="preserve"> Dec 25 Finance approved budget reduction to £8K </t>
    </r>
  </si>
  <si>
    <r>
      <t xml:space="preserve">Community development grant aid for projects up to approx  £4K as approved by Council September 2011 - Retain budget. 2018/19 £4K moved to Community Festival N/C 5087 agreed Nov 16 + Jan 18 council approved £750 for community tea party. July 18 council approved £4K to move to CF NC 5087 to cover community zone.21/11/18 Council reduced budget for 2019/20 linked to historic usage. £15K moved to N/C 3070 for community shelter approved by council 13/3/19. </t>
    </r>
    <r>
      <rPr>
        <b/>
        <sz val="11"/>
        <rFont val="Arial"/>
        <family val="2"/>
      </rPr>
      <t>18/9/19 - Council approved £1000 for older person tea party in April 2020 - supplier replaced in Jan 20 by new provider agreed @£600 .</t>
    </r>
    <r>
      <rPr>
        <sz val="11"/>
        <rFont val="Arial"/>
        <family val="2"/>
      </rPr>
      <t xml:space="preserve"> </t>
    </r>
    <r>
      <rPr>
        <b/>
        <sz val="11"/>
        <rFont val="Arial"/>
        <family val="2"/>
      </rPr>
      <t>Sept 21 - BS |Carnival committee refunded £3K  unspent grant</t>
    </r>
    <r>
      <rPr>
        <sz val="11"/>
        <rFont val="Arial"/>
        <family val="2"/>
      </rPr>
      <t xml:space="preserve">. Oct 21 - Reduce budget from £12K to £9K following refund and to cover 2021 bi-election costs + Nov 21 Tea Party refund £60 . </t>
    </r>
    <r>
      <rPr>
        <b/>
        <sz val="11"/>
        <rFont val="Arial"/>
        <family val="2"/>
      </rPr>
      <t>March 22 approved Jubilee Beacon @ £490 for 2020/21 + up to £3K for 2022/23 anniversary/Jubilee celebrations + £1000 for tea party for 2022/23</t>
    </r>
    <r>
      <rPr>
        <sz val="11"/>
        <rFont val="Arial"/>
        <family val="2"/>
      </rPr>
      <t xml:space="preserve">. </t>
    </r>
    <r>
      <rPr>
        <b/>
        <sz val="11"/>
        <rFont val="Arial"/>
        <family val="2"/>
      </rPr>
      <t>Nov 22 - £1500 Warm Space Grant Aid received see NC 4002</t>
    </r>
    <r>
      <rPr>
        <sz val="11"/>
        <rFont val="Arial"/>
        <family val="2"/>
      </rPr>
      <t>. July 23 Finance approved tfr of £2K for Local Nature Action Plan - N/C 5078. Reduce budget to £10K</t>
    </r>
    <r>
      <rPr>
        <sz val="11"/>
        <color rgb="FFFF0000"/>
        <rFont val="Arial"/>
        <family val="2"/>
      </rPr>
      <t xml:space="preserve"> .</t>
    </r>
    <r>
      <rPr>
        <b/>
        <sz val="11"/>
        <rFont val="Arial"/>
        <family val="2"/>
      </rPr>
      <t>Aug 23 LY&amp;A approved £1K to cover both 80th D Day &amp; Intl Womens Day events in 2024</t>
    </r>
    <r>
      <rPr>
        <sz val="11"/>
        <rFont val="Arial"/>
        <family val="2"/>
      </rPr>
      <t xml:space="preserve"> </t>
    </r>
    <r>
      <rPr>
        <u/>
        <sz val="11"/>
        <rFont val="Arial"/>
        <family val="2"/>
      </rPr>
      <t>11/1/24 - MAF funding received for Red Dress project hall hire - £700.17.4.24 £1250 MAF funding received for teaparties in 24/25 (See N/C 4003) Budget increased from £10K to £11,250. April 24 - Council approved £2K budget for 24/25 for 2 vintage tea parties.</t>
    </r>
    <r>
      <rPr>
        <sz val="11"/>
        <rFont val="Arial"/>
        <family val="2"/>
      </rPr>
      <t xml:space="preserve"> </t>
    </r>
    <r>
      <rPr>
        <b/>
        <sz val="11"/>
        <rFont val="Arial"/>
        <family val="2"/>
      </rPr>
      <t>Aug 24 - LY&amp;A approved £290 for VE Day Plaque + £710 for Intl Womens Day Event - 8/3/25</t>
    </r>
    <r>
      <rPr>
        <sz val="11"/>
        <rFont val="Arial"/>
        <family val="2"/>
      </rPr>
      <t xml:space="preserve">. </t>
    </r>
    <r>
      <rPr>
        <u/>
        <sz val="11"/>
        <rFont val="Arial"/>
        <family val="2"/>
      </rPr>
      <t>23/10/24 Finance approved £2K decrease to fund  Vintage Tea + events to N/C 5087</t>
    </r>
    <r>
      <rPr>
        <sz val="11"/>
        <rFont val="Arial"/>
        <family val="2"/>
      </rPr>
      <t xml:space="preserve">. </t>
    </r>
    <r>
      <rPr>
        <b/>
        <sz val="11"/>
        <color rgb="FFFF0000"/>
        <rFont val="Arial"/>
        <family val="2"/>
      </rPr>
      <t>January 2025 agreed to increase 25/26 budget from £8K to £10K using surplus 24/25 budget from N/C 9023 (Xmas lights)</t>
    </r>
    <r>
      <rPr>
        <sz val="11"/>
        <color rgb="FFFF0000"/>
        <rFont val="Arial"/>
        <family val="2"/>
      </rPr>
      <t>.</t>
    </r>
    <r>
      <rPr>
        <sz val="11"/>
        <rFont val="Arial"/>
        <family val="2"/>
      </rPr>
      <t xml:space="preserve"> </t>
    </r>
    <r>
      <rPr>
        <b/>
        <sz val="11"/>
        <color rgb="FFFF0000"/>
        <rFont val="Arial"/>
        <family val="2"/>
      </rPr>
      <t xml:space="preserve"> </t>
    </r>
    <r>
      <rPr>
        <b/>
        <sz val="11"/>
        <rFont val="Arial"/>
        <family val="2"/>
      </rPr>
      <t>17/1/25 - Stoke Gifford Council donation to IWD  - £50 See N/C 4003</t>
    </r>
    <r>
      <rPr>
        <sz val="11"/>
        <rFont val="Arial"/>
        <family val="2"/>
      </rPr>
      <t xml:space="preserve">. </t>
    </r>
    <r>
      <rPr>
        <sz val="11"/>
        <color theme="1"/>
        <rFont val="Arial"/>
        <family val="2"/>
      </rPr>
      <t>Finance 5/3/25 - Tfr £2K to N/C 5084 setting up new projects &amp; Events budget for Libby for 2025/26 onwards</t>
    </r>
    <r>
      <rPr>
        <sz val="11"/>
        <rFont val="Arial"/>
        <family val="2"/>
      </rPr>
      <t>.</t>
    </r>
    <r>
      <rPr>
        <b/>
        <sz val="11"/>
        <color rgb="FFFF0000"/>
        <rFont val="Arial"/>
        <family val="2"/>
      </rPr>
      <t xml:space="preserve"> Jan 26 Council transferred £1.5K for Intl Womens day to N/C 5084 reducing budget from £8K to £6.5K</t>
    </r>
    <r>
      <rPr>
        <sz val="11"/>
        <rFont val="Arial"/>
        <family val="2"/>
      </rPr>
      <t>.</t>
    </r>
    <r>
      <rPr>
        <b/>
        <sz val="11"/>
        <color rgb="FFC00000"/>
        <rFont val="Arial"/>
        <family val="2"/>
      </rPr>
      <t xml:space="preserve"> </t>
    </r>
    <r>
      <rPr>
        <b/>
        <u/>
        <sz val="11"/>
        <color rgb="FFC00000"/>
        <rFont val="Arial"/>
        <family val="2"/>
      </rPr>
      <t>Feb 26 council moved £200 to NC 3064 for Defib</t>
    </r>
  </si>
  <si>
    <r>
      <t xml:space="preserve"> 2018/19 - Huckley way Bus shelter claim settlement - see also N/C 5042. 2019/20 Sale of Astra Van - £1000 (inc vat £166.67) - see also N/C 3023. Aug  2021 - Bradley House, Ferndene, CIL funding - £790.00 BW Roof Repair Insurance settlement + £210.00 to be applied against BW development NC 9036/3014 as agreed council Sept 2021. Aug 21 Beacon Play Area - Insurance settlement following arson.</t>
    </r>
    <r>
      <rPr>
        <b/>
        <sz val="12"/>
        <rFont val="Arial"/>
        <family val="2"/>
      </rPr>
      <t xml:space="preserve">  29/4/22 - Arson insurance = Mitsibishi  £15K + Transit £6K = £21K -</t>
    </r>
    <r>
      <rPr>
        <sz val="12"/>
        <rFont val="Arial"/>
        <family val="2"/>
      </rPr>
      <t xml:space="preserve"> </t>
    </r>
    <r>
      <rPr>
        <b/>
        <sz val="12"/>
        <rFont val="Arial"/>
        <family val="2"/>
      </rPr>
      <t xml:space="preserve">See NC 3023. 9/6/22 - £938.45 insurance re tarmac damage from arson - See N/C 6046 + £4355.05 CIL money received approved against Jubilee Green fitness equipment see NC 3070. </t>
    </r>
    <r>
      <rPr>
        <u/>
        <sz val="12"/>
        <rFont val="Arial"/>
        <family val="2"/>
      </rPr>
      <t xml:space="preserve">28/4/23 received £17,420.21  22/23 CIL funding input as 22/23 accrued income. Jul 23 council approved allocating the Cil funding against leisure equipment N/C 3070 to be.  taken from 22/23 year end surplus N/C3089. </t>
    </r>
    <r>
      <rPr>
        <b/>
        <sz val="12"/>
        <rFont val="Arial"/>
        <family val="2"/>
      </rPr>
      <t xml:space="preserve">2023/24 CIL of £8311.45 received  April 24 allocated to N/C 9035 + £16546.95 Vat reclaim re sports hire received + June£74.04.  </t>
    </r>
    <r>
      <rPr>
        <u/>
        <sz val="12"/>
        <rFont val="Arial"/>
        <family val="2"/>
      </rPr>
      <t>11/1/24 - £700 - Cllr B Randles MAF funding received for Intl Womens Day Red Dress Project Hall Hire- see N/C 5074</t>
    </r>
    <r>
      <rPr>
        <sz val="12"/>
        <rFont val="Arial"/>
        <family val="2"/>
      </rPr>
      <t xml:space="preserve">. </t>
    </r>
    <r>
      <rPr>
        <b/>
        <sz val="12"/>
        <rFont val="Arial"/>
        <family val="2"/>
      </rPr>
      <t>Jan 25 - £500 MAF Funding from John Bradbury for Tea Party - see N/C  5084 (Pre- receipt for 2025/26)+ £500 MAF Funding - Ben Randles + £1K donation from Stoke Lodge &amp; the Common PC = £1500 for WW1 Bench on Manor Farm - N/C 9022.</t>
    </r>
    <r>
      <rPr>
        <sz val="12"/>
        <rFont val="Arial"/>
        <family val="2"/>
      </rPr>
      <t xml:space="preserve"> </t>
    </r>
    <r>
      <rPr>
        <u/>
        <sz val="12"/>
        <rFont val="Arial"/>
        <family val="2"/>
      </rPr>
      <t>17/1/25 - Stoke Gifford Council donation to IWD N/C 5074 - £50 (inv 8379). 28/1/25 - Lovell Care Home Donation for  Community Orchard £200 (inv 8400) + Willowbrook Donation for  Community Orchard £300 (inv 8401)- To N/C 5078.</t>
    </r>
    <r>
      <rPr>
        <b/>
        <u/>
        <sz val="12"/>
        <rFont val="Arial"/>
        <family val="2"/>
      </rPr>
      <t xml:space="preserve">March 25 £75 funding from ARV solutions + £700 from Tree Council  to Orchard N/C5078. </t>
    </r>
    <r>
      <rPr>
        <b/>
        <sz val="12"/>
        <rFont val="Arial"/>
        <family val="2"/>
      </rPr>
      <t>25/26 - £500 MAF funding for April 25 Tea Party</t>
    </r>
    <r>
      <rPr>
        <sz val="12"/>
        <rFont val="Arial"/>
        <family val="2"/>
      </rPr>
      <t xml:space="preserve">  </t>
    </r>
    <r>
      <rPr>
        <b/>
        <sz val="12"/>
        <rFont val="Arial"/>
        <family val="2"/>
      </rPr>
      <t>N/C 5084 - 24/2/25 - 24/25 £500 MAF funding for solar Panels N/C 3082</t>
    </r>
    <r>
      <rPr>
        <sz val="12"/>
        <rFont val="Arial"/>
        <family val="2"/>
      </rPr>
      <t xml:space="preserve"> </t>
    </r>
    <r>
      <rPr>
        <b/>
        <sz val="12"/>
        <rFont val="Arial"/>
        <family val="2"/>
      </rPr>
      <t xml:space="preserve">(reserve to roll into 25/26)+ £1000 MAF funding for Holy Trinity Defib to N/C 3064 (Defib reserve for 25/26) </t>
    </r>
    <r>
      <rPr>
        <sz val="12"/>
        <rFont val="Arial"/>
        <family val="2"/>
      </rPr>
      <t>. 24/25 CIL Funding £13,031.52 - accrued income- payment due May 25 to be allocated in 25/26.</t>
    </r>
    <r>
      <rPr>
        <b/>
        <sz val="12"/>
        <color rgb="FFC00000"/>
        <rFont val="Arial"/>
        <family val="2"/>
      </rPr>
      <t xml:space="preserve"> Feb 26 - Zurich insurance settlement re van claim (rodent damage) see also N/C 5997</t>
    </r>
  </si>
  <si>
    <r>
      <rPr>
        <sz val="11"/>
        <color theme="1"/>
        <rFont val="Arial"/>
        <family val="2"/>
      </rPr>
      <t xml:space="preserve">Fuel  = est £100 p/m = </t>
    </r>
    <r>
      <rPr>
        <b/>
        <sz val="11"/>
        <color theme="1"/>
        <rFont val="Arial"/>
        <family val="2"/>
      </rPr>
      <t>£1200</t>
    </r>
    <r>
      <rPr>
        <sz val="11"/>
        <color theme="1"/>
        <rFont val="Arial"/>
        <family val="2"/>
      </rPr>
      <t xml:space="preserve"> based on max Transit van performance +</t>
    </r>
    <r>
      <rPr>
        <b/>
        <sz val="11"/>
        <color theme="1"/>
        <rFont val="Arial"/>
        <family val="2"/>
      </rPr>
      <t xml:space="preserve"> </t>
    </r>
    <r>
      <rPr>
        <sz val="11"/>
        <color theme="1"/>
        <rFont val="Arial"/>
        <family val="2"/>
      </rPr>
      <t>road tax est =</t>
    </r>
    <r>
      <rPr>
        <b/>
        <sz val="11"/>
        <color theme="1"/>
        <rFont val="Arial"/>
        <family val="2"/>
      </rPr>
      <t xml:space="preserve"> £300 + MOT &amp; </t>
    </r>
    <r>
      <rPr>
        <sz val="11"/>
        <color theme="1"/>
        <rFont val="Arial"/>
        <family val="2"/>
      </rPr>
      <t xml:space="preserve">other repairs/services, tyres etc est = </t>
    </r>
    <r>
      <rPr>
        <b/>
        <sz val="11"/>
        <color theme="1"/>
        <rFont val="Arial"/>
        <family val="2"/>
      </rPr>
      <t xml:space="preserve">£1000 </t>
    </r>
    <r>
      <rPr>
        <sz val="11"/>
        <color theme="1"/>
        <rFont val="Arial"/>
        <family val="2"/>
      </rPr>
      <t xml:space="preserve">based upon historic figures (Insurance included within n/c see 5070). Roll unspent year end budget into vehicle reserve N/C 3023.  June 2020 Finance Reduced from £3395 to £2237.97 based upon historic figures. </t>
    </r>
    <r>
      <rPr>
        <b/>
        <sz val="11"/>
        <color theme="1"/>
        <rFont val="Arial"/>
        <family val="2"/>
      </rPr>
      <t xml:space="preserve">Dec 22 - increase 22/23 budget to £5044 to cover interim vehicle lease costs. </t>
    </r>
    <r>
      <rPr>
        <b/>
        <sz val="11"/>
        <rFont val="Arial"/>
        <family val="2"/>
      </rPr>
      <t>Reduce to £2.5 for 23/24</t>
    </r>
    <r>
      <rPr>
        <sz val="11"/>
        <rFont val="Arial"/>
        <family val="2"/>
      </rPr>
      <t xml:space="preserve">. </t>
    </r>
    <r>
      <rPr>
        <b/>
        <sz val="11"/>
        <color rgb="FFC00000"/>
        <rFont val="Arial"/>
        <family val="2"/>
      </rPr>
      <t>Feb 26 - £1729.40 Insurance claim paid for rodent damage</t>
    </r>
  </si>
  <si>
    <r>
      <t>2 Purchased Jan 2014.</t>
    </r>
    <r>
      <rPr>
        <b/>
        <sz val="11"/>
        <rFont val="Arial"/>
        <family val="2"/>
      </rPr>
      <t xml:space="preserve">March 25 - £1000 MAF funding for Holy Trinity Defib see N/C 4003 +  </t>
    </r>
    <r>
      <rPr>
        <b/>
        <sz val="11"/>
        <color rgb="FFFF0000"/>
        <rFont val="Arial"/>
        <family val="2"/>
      </rPr>
      <t>Feb Council moved £200 from N/C 5074 for Defib installation</t>
    </r>
    <r>
      <rPr>
        <b/>
        <sz val="11"/>
        <rFont val="Arial"/>
        <family val="2"/>
      </rPr>
      <t xml:space="preserve"> </t>
    </r>
    <r>
      <rPr>
        <b/>
        <sz val="11"/>
        <color rgb="FFFF0000"/>
        <rFont val="Arial"/>
        <family val="2"/>
      </rPr>
      <t>- See NC 9011</t>
    </r>
    <r>
      <rPr>
        <sz val="11"/>
        <rFont val="Arial"/>
        <family val="2"/>
      </rPr>
      <t>.</t>
    </r>
    <r>
      <rPr>
        <b/>
        <sz val="11"/>
        <color rgb="FFC00000"/>
        <rFont val="Arial"/>
        <family val="2"/>
      </rPr>
      <t xml:space="preserve"> 9/2/26 - £991 trfd to NC 9011</t>
    </r>
  </si>
  <si>
    <r>
      <t xml:space="preserve">Based upon advice from H&amp;S officer - a reserve has been established over a 6 year period to replace equipment based upon the following lines Foxborough gardens £30K + BW £30K + Paddock close £40K + BC £50K = £150K against N/C 9020.  13/3/19 council approved £15995 quote to replace Beacon Play area equipment against N/C 9038. Budget moved from N/C 3016 to N/C 9020 at year end. Sept 19 council approved increasing reserve from 2019/20 year end surplus. June 2020 increased from £109K - To allow for £75K for BC Play area and then replenish over following 5 years. </t>
    </r>
    <r>
      <rPr>
        <b/>
        <sz val="11"/>
        <rFont val="Arial"/>
        <family val="2"/>
      </rPr>
      <t>July Council approved £75K for BC Play area quotes</t>
    </r>
    <r>
      <rPr>
        <sz val="11"/>
        <rFont val="Arial"/>
        <family val="2"/>
      </rPr>
      <t>.</t>
    </r>
    <r>
      <rPr>
        <b/>
        <sz val="11"/>
        <rFont val="Arial"/>
        <family val="2"/>
      </rPr>
      <t xml:space="preserve"> Sept 20 Council approved £105K for BC play area quotes to allow for accessibility. March 2021 approved £105K for BC play area funded from grants of £30K + £14195 - £3K charge  (See NC 4002a + NC 9020) - BSTC net funding = £63,805. </t>
    </r>
    <r>
      <rPr>
        <sz val="11"/>
        <rFont val="Arial"/>
        <family val="2"/>
      </rPr>
      <t xml:space="preserve">April 21 Finance approved increase to £176K to cover BC replacement + £112K to c/fwd. </t>
    </r>
    <r>
      <rPr>
        <b/>
        <sz val="11"/>
        <rFont val="Arial"/>
        <family val="2"/>
      </rPr>
      <t>May 22 - approved £10K uplift to £186K for 2021/22</t>
    </r>
    <r>
      <rPr>
        <sz val="11"/>
        <rFont val="Arial"/>
        <family val="2"/>
      </rPr>
      <t xml:space="preserve">. </t>
    </r>
    <r>
      <rPr>
        <b/>
        <sz val="11"/>
        <rFont val="Arial"/>
        <family val="2"/>
      </rPr>
      <t>July 22 - Tfr £64034 to NC 9020 for BC play area final payment.</t>
    </r>
    <r>
      <rPr>
        <sz val="11"/>
        <rFont val="Arial"/>
        <family val="2"/>
      </rPr>
      <t xml:space="preserve"> </t>
    </r>
    <r>
      <rPr>
        <b/>
        <sz val="11"/>
        <rFont val="Arial"/>
        <family val="2"/>
      </rPr>
      <t xml:space="preserve">24/25 - May 24 Finance approved £50K for Beacon Play Area Repairs &amp; £10K for path repairs at BC Play Area (N/C9020). </t>
    </r>
    <r>
      <rPr>
        <sz val="11"/>
        <rFont val="Arial"/>
        <family val="2"/>
      </rPr>
      <t xml:space="preserve">Sept 24 Council accepted quote for Beacon Refurb from £50K to £65,215 (excludes S106 £10975.15), approved move £15,215 from leisure equipment surplus (NC 3070) to increase Beacon refurb to £65,215 (excludes S106 £10975.15)+ </t>
    </r>
    <r>
      <rPr>
        <b/>
        <sz val="11"/>
        <rFont val="Arial"/>
        <family val="2"/>
      </rPr>
      <t>accepted quote for BC path repairs increased from from £10K to £11,998.60 (N/C 9020). Nov 24 50% BC play area resurface paid to NC 9020</t>
    </r>
    <r>
      <rPr>
        <sz val="11"/>
        <rFont val="Arial"/>
        <family val="2"/>
      </rPr>
      <t xml:space="preserve">. </t>
    </r>
    <r>
      <rPr>
        <u/>
        <sz val="11"/>
        <rFont val="Arial"/>
        <family val="2"/>
      </rPr>
      <t>11/2/25 £35,273.30 tfrd to NC 9020 re £599.30 BC play area + £29,274 - Beacon Play area</t>
    </r>
    <r>
      <rPr>
        <sz val="11"/>
        <rFont val="Arial"/>
        <family val="2"/>
      </rPr>
      <t xml:space="preserve">. </t>
    </r>
    <r>
      <rPr>
        <b/>
        <sz val="11"/>
        <rFont val="Arial"/>
        <family val="2"/>
      </rPr>
      <t>20/2/25- £14648 tfrd to N/C 9020 re Beacon Play Area refurb- 2nd instalment</t>
    </r>
    <r>
      <rPr>
        <sz val="11"/>
        <rFont val="Arial"/>
        <family val="2"/>
      </rPr>
      <t xml:space="preserve">. </t>
    </r>
    <r>
      <rPr>
        <u/>
        <sz val="11"/>
        <rFont val="Arial"/>
        <family val="2"/>
      </rPr>
      <t>March 25 £21,293 Accrued for final part of Beacon Refurb from N/C 3016</t>
    </r>
    <r>
      <rPr>
        <sz val="11"/>
        <rFont val="Arial"/>
        <family val="2"/>
      </rPr>
      <t>.</t>
    </r>
    <r>
      <rPr>
        <b/>
        <sz val="11"/>
        <color rgb="FFFF0000"/>
        <rFont val="Arial"/>
        <family val="2"/>
      </rPr>
      <t xml:space="preserve"> </t>
    </r>
    <r>
      <rPr>
        <u/>
        <sz val="11"/>
        <color rgb="FFFF0000"/>
        <rFont val="Arial"/>
        <family val="2"/>
      </rPr>
      <t>July 25 Finance agreed £975 for Paddock Close play area painting + replace flooring @ £9,986.41- see N/C 5039.</t>
    </r>
    <r>
      <rPr>
        <b/>
        <sz val="11"/>
        <color rgb="FFFF0000"/>
        <rFont val="Arial"/>
        <family val="2"/>
      </rPr>
      <t xml:space="preserve"> Sept 25 £9987 tfrd to N/C 5039 for Paddock close Flooring etc + £684 tfrd to NC 9038 re Leisure Equipment shortfall </t>
    </r>
    <r>
      <rPr>
        <sz val="11"/>
        <rFont val="Arial"/>
        <family val="2"/>
      </rPr>
      <t>.</t>
    </r>
    <r>
      <rPr>
        <sz val="11"/>
        <color rgb="FFFF0000"/>
        <rFont val="Arial"/>
        <family val="2"/>
      </rPr>
      <t xml:space="preserve"> Nov 25  Finance  approved BW play area flooring @£9915.59 - see N/C 5039. </t>
    </r>
    <r>
      <rPr>
        <b/>
        <sz val="11"/>
        <color rgb="FFFF0000"/>
        <rFont val="Arial"/>
        <family val="2"/>
      </rPr>
      <t xml:space="preserve">17/12/25 - £13,058 tfrd to N/C 5039. Dec 25 approved £2415.04 for BW Play area Sensory Station  to N/C 5039. </t>
    </r>
    <r>
      <rPr>
        <b/>
        <u/>
        <sz val="11"/>
        <color rgb="FFC00000"/>
        <rFont val="Arial"/>
        <family val="2"/>
      </rPr>
      <t>9/2/26 -  £1207.52 tfrd to NC 9020 re Harlequin Works</t>
    </r>
  </si>
  <si>
    <r>
      <t xml:space="preserve">Public Defib Installation See N/C 3064. </t>
    </r>
    <r>
      <rPr>
        <b/>
        <sz val="12"/>
        <color rgb="FFC00000"/>
        <rFont val="Arial"/>
        <family val="2"/>
      </rPr>
      <t xml:space="preserve">Feb 26 - £991 tfrd from N/C 3064 </t>
    </r>
  </si>
  <si>
    <r>
      <rPr>
        <sz val="11"/>
        <rFont val="Arial"/>
        <family val="2"/>
      </rPr>
      <t>£7446 for Beacon play area Playbond surface flooring donated by FOJG reversed by N/C 9020. Installed Jan 2019.  13/3/19 Council approved</t>
    </r>
    <r>
      <rPr>
        <b/>
        <sz val="11"/>
        <rFont val="Arial"/>
        <family val="2"/>
      </rPr>
      <t xml:space="preserve"> £15,995 quote to replace Beacon Play area equipment from N/C 3016. </t>
    </r>
    <r>
      <rPr>
        <sz val="11"/>
        <rFont val="Arial"/>
        <family val="2"/>
      </rPr>
      <t>March 2021 approved £105K for BC play area replacement using grant aid of £30K + £14195 less £3K upfront fee leaves BSTC funding @ £60,808 (see NC 4002a + NC 3016).</t>
    </r>
    <r>
      <rPr>
        <b/>
        <sz val="11"/>
        <rFont val="Arial"/>
        <family val="2"/>
      </rPr>
      <t xml:space="preserve"> July 22 Finance Funds moved from reserves NC 3016.</t>
    </r>
    <r>
      <rPr>
        <sz val="11"/>
        <rFont val="Arial"/>
        <family val="2"/>
      </rPr>
      <t>24/25 May 23 Finance approved £50K for Beacon Play area refurb + £10K for BC rebuild pathway (NC 3016).</t>
    </r>
    <r>
      <rPr>
        <b/>
        <sz val="11"/>
        <rFont val="Arial"/>
        <family val="2"/>
      </rPr>
      <t xml:space="preserve"> Sept 24 Council approved Greenfells quote for Beacon refurb £65215 from N/C 3016 inc additional £15215 moved from N/C 3070 to N/C 3016 (Leisure equipment surplus  tfr - (Excludes S106 £10975.15)) + BC Play area path quote £11,998.60 approved, increased from £10K (NC 3016). </t>
    </r>
    <r>
      <rPr>
        <sz val="11"/>
        <rFont val="Arial"/>
        <family val="2"/>
      </rPr>
      <t>Nov 24 £5999.30 Tfrd from NC 3016 re 50% first payment of BC play area resurface - £5999.30 remains in reserve for final payment</t>
    </r>
    <r>
      <rPr>
        <b/>
        <sz val="11"/>
        <rFont val="Arial"/>
        <family val="2"/>
      </rPr>
      <t xml:space="preserve">. Jan 25 - £35,273.30 tfrd from N/C 3012 re £5999.30 BC play area flooring 2nd instalment + £29,274 re Beacon Play area Refurbishment. </t>
    </r>
    <r>
      <rPr>
        <u/>
        <sz val="11"/>
        <rFont val="Arial"/>
        <family val="2"/>
      </rPr>
      <t>20/2/25- £14648 tfrd from N/C 3016 re Beacon Play Area refurb- 2nd instalment</t>
    </r>
    <r>
      <rPr>
        <b/>
        <sz val="11"/>
        <rFont val="Arial"/>
        <family val="2"/>
      </rPr>
      <t xml:space="preserve">. March 25 £21,293 Accrued for final part of Beacon Refurb from N/C 3016. Sept25 £726 surplus tfrd to NC 9038. </t>
    </r>
    <r>
      <rPr>
        <b/>
        <u/>
        <sz val="11"/>
        <color rgb="FFC00000"/>
        <rFont val="Arial"/>
        <family val="2"/>
      </rPr>
      <t>Feb 26 - £1207.52 tfr from NC 3016</t>
    </r>
  </si>
  <si>
    <r>
      <rPr>
        <sz val="10"/>
        <color rgb="FFC00000"/>
        <rFont val="Arial"/>
        <family val="2"/>
      </rPr>
      <t>Confirmed</t>
    </r>
    <r>
      <rPr>
        <sz val="10"/>
        <rFont val="Arial"/>
        <family val="2"/>
      </rPr>
      <t xml:space="preserve">/Estimated Previous Year End Balance C/FWD </t>
    </r>
  </si>
  <si>
    <r>
      <rPr>
        <b/>
        <sz val="11"/>
        <rFont val="Arial"/>
        <family val="2"/>
      </rPr>
      <t>Less Local Council Tax Scheme Grant Funding</t>
    </r>
    <r>
      <rPr>
        <b/>
        <sz val="12"/>
        <rFont val="Arial"/>
        <family val="2"/>
      </rPr>
      <t xml:space="preserve"> </t>
    </r>
    <r>
      <rPr>
        <sz val="10"/>
        <color rgb="FFC00000"/>
        <rFont val="Arial"/>
        <family val="2"/>
      </rPr>
      <t>confirmed</t>
    </r>
    <r>
      <rPr>
        <sz val="10"/>
        <rFont val="Arial"/>
        <family val="2"/>
      </rPr>
      <t xml:space="preserve">/projected by Sth Glos </t>
    </r>
  </si>
  <si>
    <r>
      <rPr>
        <sz val="14"/>
        <color rgb="FFC00000"/>
        <rFont val="Arial"/>
        <family val="2"/>
      </rPr>
      <t>Approved</t>
    </r>
    <r>
      <rPr>
        <sz val="14"/>
        <rFont val="Arial"/>
        <family val="2"/>
      </rPr>
      <t>/Estimated Precept per Band D property</t>
    </r>
  </si>
  <si>
    <r>
      <rPr>
        <sz val="14"/>
        <color rgb="FFC00000"/>
        <rFont val="Arial"/>
        <family val="2"/>
      </rPr>
      <t>Approved</t>
    </r>
    <r>
      <rPr>
        <sz val="14"/>
        <rFont val="Arial"/>
        <family val="2"/>
      </rPr>
      <t xml:space="preserve">/Estimated Sth Glos Tax Base </t>
    </r>
  </si>
  <si>
    <t>Audited Figures 2023/24</t>
  </si>
  <si>
    <t xml:space="preserve"> Audited Figures 2024/25</t>
  </si>
  <si>
    <t xml:space="preserve">  Approved Budget 2025/26</t>
  </si>
  <si>
    <t>5 YEAR FORWARD PLAN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</si>
</sst>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quot;£&quot;#,##0.00"/>
    <numFmt numFmtId="165" formatCode="&quot;£&quot;#,##0"/>
  </numFmts>
  <fonts count="108" x14ac:knownFonts="1">
    <font>
      <sz val="10"/>
      <name val="Arial"/>
    </font>
    <font>
      <sz val="10"/>
      <name val="Arial"/>
      <family val="2"/>
    </font>
    <font>
      <b/>
      <sz val="10"/>
      <name val="Arial"/>
      <family val="2"/>
    </font>
    <font>
      <sz val="8"/>
      <name val="Arial"/>
      <family val="2"/>
    </font>
    <font>
      <b/>
      <sz val="12"/>
      <name val="Arial"/>
      <family val="2"/>
    </font>
    <font>
      <b/>
      <sz val="10"/>
      <color indexed="10"/>
      <name val="Arial"/>
      <family val="2"/>
    </font>
    <font>
      <sz val="10"/>
      <name val="Arial"/>
      <family val="2"/>
    </font>
    <font>
      <b/>
      <sz val="12"/>
      <color indexed="10"/>
      <name val="Arial"/>
      <family val="2"/>
    </font>
    <font>
      <sz val="11"/>
      <name val="Arial"/>
      <family val="2"/>
    </font>
    <font>
      <sz val="9"/>
      <name val="Arial"/>
      <family val="2"/>
    </font>
    <font>
      <sz val="12"/>
      <name val="Arial"/>
      <family val="2"/>
    </font>
    <font>
      <b/>
      <sz val="8"/>
      <color indexed="10"/>
      <name val="Arial"/>
      <family val="2"/>
    </font>
    <font>
      <b/>
      <u/>
      <sz val="18"/>
      <name val="Arial"/>
      <family val="2"/>
    </font>
    <font>
      <b/>
      <sz val="16"/>
      <color indexed="10"/>
      <name val="Arial"/>
      <family val="2"/>
    </font>
    <font>
      <sz val="12"/>
      <color indexed="10"/>
      <name val="Arial"/>
      <family val="2"/>
    </font>
    <font>
      <b/>
      <sz val="9"/>
      <name val="Arial"/>
      <family val="2"/>
    </font>
    <font>
      <sz val="8"/>
      <color indexed="10"/>
      <name val="Arial"/>
      <family val="2"/>
    </font>
    <font>
      <b/>
      <sz val="9"/>
      <color indexed="10"/>
      <name val="Arial"/>
      <family val="2"/>
    </font>
    <font>
      <sz val="12"/>
      <color indexed="63"/>
      <name val="Arial"/>
      <family val="2"/>
    </font>
    <font>
      <b/>
      <sz val="11"/>
      <name val="Arial"/>
      <family val="2"/>
    </font>
    <font>
      <b/>
      <u/>
      <sz val="12"/>
      <name val="Arial"/>
      <family val="2"/>
    </font>
    <font>
      <b/>
      <sz val="12"/>
      <color indexed="12"/>
      <name val="Arial"/>
      <family val="2"/>
    </font>
    <font>
      <b/>
      <sz val="11"/>
      <color indexed="10"/>
      <name val="Arial"/>
      <family val="2"/>
    </font>
    <font>
      <sz val="12"/>
      <color indexed="8"/>
      <name val="Arial"/>
      <family val="2"/>
    </font>
    <font>
      <sz val="11"/>
      <color indexed="8"/>
      <name val="Arial"/>
      <family val="2"/>
    </font>
    <font>
      <u/>
      <sz val="11"/>
      <color indexed="8"/>
      <name val="Arial"/>
      <family val="2"/>
    </font>
    <font>
      <sz val="11"/>
      <name val="Arial"/>
      <family val="2"/>
    </font>
    <font>
      <sz val="12"/>
      <name val="Arial"/>
      <family val="2"/>
    </font>
    <font>
      <u/>
      <sz val="11"/>
      <name val="Arial"/>
      <family val="2"/>
    </font>
    <font>
      <b/>
      <sz val="11"/>
      <color indexed="8"/>
      <name val="Arial"/>
      <family val="2"/>
    </font>
    <font>
      <sz val="10"/>
      <color indexed="8"/>
      <name val="Arial"/>
      <family val="2"/>
    </font>
    <font>
      <b/>
      <sz val="9"/>
      <color indexed="12"/>
      <name val="Arial"/>
      <family val="2"/>
    </font>
    <font>
      <sz val="10"/>
      <color indexed="10"/>
      <name val="Arial"/>
      <family val="2"/>
    </font>
    <font>
      <b/>
      <u/>
      <sz val="11"/>
      <name val="Arial"/>
      <family val="2"/>
    </font>
    <font>
      <sz val="14"/>
      <name val="Arial"/>
      <family val="2"/>
    </font>
    <font>
      <sz val="11"/>
      <color rgb="FFFF0000"/>
      <name val="Arial"/>
      <family val="2"/>
    </font>
    <font>
      <b/>
      <sz val="11"/>
      <color rgb="FFFF0000"/>
      <name val="Arial"/>
      <family val="2"/>
    </font>
    <font>
      <sz val="11"/>
      <color theme="1"/>
      <name val="Arial"/>
      <family val="2"/>
    </font>
    <font>
      <b/>
      <u/>
      <sz val="11"/>
      <color rgb="FFFF0000"/>
      <name val="Arial"/>
      <family val="2"/>
    </font>
    <font>
      <b/>
      <sz val="11"/>
      <color theme="1"/>
      <name val="Arial"/>
      <family val="2"/>
    </font>
    <font>
      <u/>
      <sz val="11"/>
      <color theme="1"/>
      <name val="Arial"/>
      <family val="2"/>
    </font>
    <font>
      <b/>
      <sz val="10"/>
      <color rgb="FFFF0000"/>
      <name val="Arial"/>
      <family val="2"/>
    </font>
    <font>
      <sz val="10"/>
      <color theme="1"/>
      <name val="Arial"/>
      <family val="2"/>
    </font>
    <font>
      <sz val="12"/>
      <color theme="1"/>
      <name val="Arial"/>
      <family val="2"/>
    </font>
    <font>
      <sz val="12"/>
      <color rgb="FFFF0000"/>
      <name val="Arial"/>
      <family val="2"/>
    </font>
    <font>
      <b/>
      <sz val="18"/>
      <name val="Arial"/>
      <family val="2"/>
    </font>
    <font>
      <sz val="10"/>
      <name val="Arial"/>
      <family val="2"/>
    </font>
    <font>
      <b/>
      <sz val="11"/>
      <name val="Arial"/>
      <family val="2"/>
    </font>
    <font>
      <b/>
      <sz val="8"/>
      <name val="Arial"/>
      <family val="2"/>
    </font>
    <font>
      <b/>
      <sz val="16"/>
      <name val="Arial"/>
      <family val="2"/>
    </font>
    <font>
      <sz val="11"/>
      <name val="Arial"/>
      <family val="2"/>
    </font>
    <font>
      <sz val="12"/>
      <name val="Arial"/>
      <family val="2"/>
    </font>
    <font>
      <sz val="11"/>
      <color indexed="8"/>
      <name val="Arial"/>
      <family val="2"/>
    </font>
    <font>
      <b/>
      <sz val="12"/>
      <name val="Arial"/>
      <family val="2"/>
    </font>
    <font>
      <b/>
      <sz val="14"/>
      <name val="Arial"/>
      <family val="2"/>
    </font>
    <font>
      <b/>
      <sz val="14"/>
      <color indexed="8"/>
      <name val="Arial"/>
      <family val="2"/>
    </font>
    <font>
      <sz val="8"/>
      <name val="Arial"/>
      <family val="2"/>
    </font>
    <font>
      <b/>
      <sz val="12"/>
      <color indexed="12"/>
      <name val="Arial"/>
      <family val="2"/>
    </font>
    <font>
      <sz val="11"/>
      <color indexed="12"/>
      <name val="Arial"/>
      <family val="2"/>
    </font>
    <font>
      <b/>
      <sz val="10"/>
      <name val="Arial"/>
      <family val="2"/>
    </font>
    <font>
      <sz val="12"/>
      <color indexed="8"/>
      <name val="Arial"/>
      <family val="2"/>
    </font>
    <font>
      <b/>
      <sz val="12"/>
      <color indexed="10"/>
      <name val="Arial"/>
      <family val="2"/>
    </font>
    <font>
      <b/>
      <sz val="11"/>
      <color indexed="10"/>
      <name val="Arial"/>
      <family val="2"/>
    </font>
    <font>
      <sz val="14"/>
      <name val="Arial"/>
      <family val="2"/>
    </font>
    <font>
      <sz val="14"/>
      <color indexed="8"/>
      <name val="Arial"/>
      <family val="2"/>
    </font>
    <font>
      <b/>
      <sz val="12"/>
      <color indexed="8"/>
      <name val="Arial"/>
      <family val="2"/>
    </font>
    <font>
      <b/>
      <sz val="14"/>
      <color indexed="10"/>
      <name val="Arial"/>
      <family val="2"/>
    </font>
    <font>
      <i/>
      <sz val="8"/>
      <color indexed="8"/>
      <name val="Arial"/>
      <family val="2"/>
    </font>
    <font>
      <i/>
      <sz val="10"/>
      <color indexed="8"/>
      <name val="Arial"/>
      <family val="2"/>
    </font>
    <font>
      <u/>
      <sz val="12"/>
      <name val="Arial"/>
      <family val="2"/>
    </font>
    <font>
      <sz val="11"/>
      <color rgb="FFFF3737"/>
      <name val="Arial"/>
      <family val="2"/>
    </font>
    <font>
      <b/>
      <sz val="11"/>
      <color rgb="FFFF3737"/>
      <name val="Arial"/>
      <family val="2"/>
    </font>
    <font>
      <b/>
      <sz val="12"/>
      <color rgb="FFFF3737"/>
      <name val="Arial"/>
      <family val="2"/>
    </font>
    <font>
      <b/>
      <sz val="11"/>
      <color rgb="FF000000"/>
      <name val="Arial"/>
      <family val="2"/>
    </font>
    <font>
      <sz val="9.5"/>
      <name val="Arial"/>
      <family val="2"/>
    </font>
    <font>
      <sz val="14"/>
      <color rgb="FFFF0000"/>
      <name val="Arial"/>
      <family val="2"/>
    </font>
    <font>
      <b/>
      <u/>
      <sz val="11"/>
      <color rgb="FFFF3737"/>
      <name val="Arial"/>
      <family val="2"/>
    </font>
    <font>
      <b/>
      <u/>
      <sz val="11"/>
      <color theme="1"/>
      <name val="Arial"/>
      <family val="2"/>
    </font>
    <font>
      <b/>
      <sz val="18"/>
      <color rgb="FFFF0000"/>
      <name val="Arial"/>
      <family val="2"/>
    </font>
    <font>
      <b/>
      <sz val="18"/>
      <color rgb="FFFF3737"/>
      <name val="Arial"/>
      <family val="2"/>
    </font>
    <font>
      <b/>
      <sz val="10"/>
      <color rgb="FFFF3737"/>
      <name val="Arial"/>
      <family val="2"/>
    </font>
    <font>
      <b/>
      <sz val="12"/>
      <color rgb="FFFF0000"/>
      <name val="Arial"/>
      <family val="2"/>
    </font>
    <font>
      <b/>
      <sz val="9"/>
      <color rgb="FFFF0000"/>
      <name val="Arial"/>
      <family val="2"/>
    </font>
    <font>
      <b/>
      <u/>
      <sz val="12"/>
      <color theme="1"/>
      <name val="Arial"/>
      <family val="2"/>
    </font>
    <font>
      <sz val="11"/>
      <color rgb="FF002060"/>
      <name val="Arial"/>
      <family val="2"/>
    </font>
    <font>
      <u/>
      <sz val="11"/>
      <color rgb="FFFF0000"/>
      <name val="Arial"/>
      <family val="2"/>
    </font>
    <font>
      <b/>
      <sz val="12"/>
      <color theme="1"/>
      <name val="Arial"/>
      <family val="2"/>
    </font>
    <font>
      <b/>
      <sz val="16"/>
      <color rgb="FFFF0000"/>
      <name val="Arial"/>
      <family val="2"/>
    </font>
    <font>
      <sz val="13"/>
      <name val="Arial"/>
      <family val="2"/>
    </font>
    <font>
      <u/>
      <sz val="11"/>
      <color rgb="FFFF3737"/>
      <name val="Arial"/>
      <family val="2"/>
    </font>
    <font>
      <b/>
      <u/>
      <sz val="12"/>
      <color rgb="FFFF0000"/>
      <name val="Arial"/>
      <family val="2"/>
    </font>
    <font>
      <b/>
      <sz val="11"/>
      <color rgb="FF00B050"/>
      <name val="Arial"/>
      <family val="2"/>
    </font>
    <font>
      <u/>
      <sz val="12"/>
      <color theme="1"/>
      <name val="Arial"/>
      <family val="2"/>
    </font>
    <font>
      <sz val="20"/>
      <color rgb="FFFF0000"/>
      <name val="Arial"/>
      <family val="2"/>
    </font>
    <font>
      <u/>
      <sz val="12"/>
      <color rgb="FFFF0000"/>
      <name val="Arial"/>
      <family val="2"/>
    </font>
    <font>
      <sz val="11"/>
      <color rgb="FFC00000"/>
      <name val="Arial"/>
      <family val="2"/>
    </font>
    <font>
      <b/>
      <u/>
      <sz val="11"/>
      <color rgb="FF00B050"/>
      <name val="Arial"/>
      <family val="2"/>
    </font>
    <font>
      <b/>
      <u/>
      <sz val="12"/>
      <color rgb="FF008E40"/>
      <name val="Arial"/>
      <family val="2"/>
    </font>
    <font>
      <u/>
      <sz val="12"/>
      <color rgb="FF008E40"/>
      <name val="Arial"/>
      <family val="2"/>
    </font>
    <font>
      <sz val="12"/>
      <color rgb="FF008E40"/>
      <name val="Arial"/>
      <family val="2"/>
    </font>
    <font>
      <b/>
      <sz val="16"/>
      <color theme="1"/>
      <name val="Arial"/>
      <family val="2"/>
    </font>
    <font>
      <b/>
      <sz val="10"/>
      <color theme="1"/>
      <name val="Arial"/>
      <family val="2"/>
    </font>
    <font>
      <b/>
      <sz val="11"/>
      <color rgb="FFC00000"/>
      <name val="Arial"/>
      <family val="2"/>
    </font>
    <font>
      <sz val="12"/>
      <color rgb="FFC00000"/>
      <name val="Arial"/>
      <family val="2"/>
    </font>
    <font>
      <b/>
      <sz val="12"/>
      <color rgb="FFC00000"/>
      <name val="Arial"/>
      <family val="2"/>
    </font>
    <font>
      <b/>
      <u/>
      <sz val="11"/>
      <color rgb="FFC00000"/>
      <name val="Arial"/>
      <family val="2"/>
    </font>
    <font>
      <sz val="10"/>
      <color rgb="FFC00000"/>
      <name val="Arial"/>
      <family val="2"/>
    </font>
    <font>
      <sz val="14"/>
      <color rgb="FFC00000"/>
      <name val="Arial"/>
      <family val="2"/>
    </font>
  </fonts>
  <fills count="33">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46"/>
        <bgColor indexed="64"/>
      </patternFill>
    </fill>
    <fill>
      <patternFill patternType="solid">
        <fgColor indexed="45"/>
        <bgColor indexed="64"/>
      </patternFill>
    </fill>
    <fill>
      <patternFill patternType="solid">
        <fgColor indexed="14"/>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0000"/>
        <bgColor indexed="64"/>
      </patternFill>
    </fill>
    <fill>
      <patternFill patternType="solid">
        <fgColor theme="3" tint="0.59999389629810485"/>
        <bgColor indexed="64"/>
      </patternFill>
    </fill>
    <fill>
      <patternFill patternType="solid">
        <fgColor rgb="FFFF99CC"/>
        <bgColor indexed="64"/>
      </patternFill>
    </fill>
    <fill>
      <patternFill patternType="solid">
        <fgColor rgb="FFCC99FF"/>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FF3737"/>
        <bgColor indexed="64"/>
      </patternFill>
    </fill>
    <fill>
      <patternFill patternType="solid">
        <fgColor rgb="FFFFFFFF"/>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rgb="FF99CCFF"/>
        <bgColor indexed="64"/>
      </patternFill>
    </fill>
    <fill>
      <patternFill patternType="solid">
        <fgColor rgb="FFF4C2BE"/>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8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bottom/>
      <diagonal/>
    </border>
    <border>
      <left/>
      <right style="thin">
        <color indexed="64"/>
      </right>
      <top style="thick">
        <color indexed="64"/>
      </top>
      <bottom style="thick">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bottom style="thin">
        <color indexed="64"/>
      </bottom>
      <diagonal/>
    </border>
    <border>
      <left style="thick">
        <color indexed="64"/>
      </left>
      <right style="thin">
        <color indexed="64"/>
      </right>
      <top/>
      <bottom/>
      <diagonal/>
    </border>
    <border>
      <left style="thick">
        <color indexed="64"/>
      </left>
      <right style="thin">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bottom style="thick">
        <color indexed="64"/>
      </bottom>
      <diagonal/>
    </border>
    <border>
      <left style="thick">
        <color indexed="64"/>
      </left>
      <right style="thin">
        <color indexed="64"/>
      </right>
      <top/>
      <bottom style="thin">
        <color indexed="64"/>
      </bottom>
      <diagonal/>
    </border>
    <border>
      <left/>
      <right/>
      <top style="thick">
        <color indexed="64"/>
      </top>
      <bottom/>
      <diagonal/>
    </border>
    <border>
      <left/>
      <right/>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thin">
        <color indexed="64"/>
      </top>
      <bottom style="thin">
        <color indexed="64"/>
      </bottom>
      <diagonal/>
    </border>
    <border>
      <left/>
      <right/>
      <top style="thin">
        <color indexed="64"/>
      </top>
      <bottom/>
      <diagonal/>
    </border>
    <border>
      <left/>
      <right style="medium">
        <color indexed="64"/>
      </right>
      <top style="medium">
        <color indexed="64"/>
      </top>
      <bottom style="medium">
        <color indexed="64"/>
      </bottom>
      <diagonal/>
    </border>
    <border>
      <left style="thick">
        <color indexed="64"/>
      </left>
      <right style="thick">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ck">
        <color indexed="64"/>
      </top>
      <bottom style="thick">
        <color indexed="64"/>
      </bottom>
      <diagonal/>
    </border>
    <border>
      <left style="thin">
        <color indexed="64"/>
      </left>
      <right/>
      <top style="thick">
        <color indexed="64"/>
      </top>
      <bottom style="thin">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ck">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top style="thick">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ck">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ck">
        <color indexed="64"/>
      </right>
      <top style="thick">
        <color indexed="64"/>
      </top>
      <bottom style="thin">
        <color indexed="64"/>
      </bottom>
      <diagonal/>
    </border>
    <border>
      <left style="thin">
        <color indexed="64"/>
      </left>
      <right style="thin">
        <color indexed="64"/>
      </right>
      <top/>
      <bottom style="medium">
        <color indexed="64"/>
      </bottom>
      <diagonal/>
    </border>
    <border>
      <left/>
      <right style="thick">
        <color indexed="64"/>
      </right>
      <top style="thin">
        <color indexed="64"/>
      </top>
      <bottom/>
      <diagonal/>
    </border>
    <border>
      <left style="thin">
        <color indexed="64"/>
      </left>
      <right/>
      <top style="thick">
        <color indexed="64"/>
      </top>
      <bottom/>
      <diagonal/>
    </border>
    <border>
      <left style="thin">
        <color indexed="64"/>
      </left>
      <right style="thin">
        <color indexed="64"/>
      </right>
      <top style="thick">
        <color indexed="64"/>
      </top>
      <bottom/>
      <diagonal/>
    </border>
    <border>
      <left/>
      <right style="thick">
        <color indexed="64"/>
      </right>
      <top/>
      <bottom style="thin">
        <color indexed="64"/>
      </bottom>
      <diagonal/>
    </border>
    <border>
      <left style="medium">
        <color indexed="64"/>
      </left>
      <right style="thin">
        <color indexed="64"/>
      </right>
      <top style="thin">
        <color indexed="64"/>
      </top>
      <bottom/>
      <diagonal/>
    </border>
    <border>
      <left style="thick">
        <color indexed="64"/>
      </left>
      <right/>
      <top style="thick">
        <color indexed="64"/>
      </top>
      <bottom style="thin">
        <color indexed="64"/>
      </bottom>
      <diagonal/>
    </border>
    <border>
      <left style="medium">
        <color indexed="64"/>
      </left>
      <right/>
      <top style="thin">
        <color indexed="64"/>
      </top>
      <bottom/>
      <diagonal/>
    </border>
  </borders>
  <cellStyleXfs count="1">
    <xf numFmtId="0" fontId="0" fillId="0" borderId="0"/>
  </cellStyleXfs>
  <cellXfs count="1115">
    <xf numFmtId="0" fontId="0" fillId="0" borderId="0" xfId="0"/>
    <xf numFmtId="0" fontId="0" fillId="0" borderId="0" xfId="0" applyAlignment="1">
      <alignment wrapText="1"/>
    </xf>
    <xf numFmtId="0" fontId="10" fillId="0" borderId="2" xfId="0" applyFont="1" applyBorder="1" applyAlignment="1">
      <alignment horizontal="center"/>
    </xf>
    <xf numFmtId="0" fontId="10" fillId="0" borderId="2" xfId="0" applyFont="1" applyBorder="1" applyAlignment="1">
      <alignment horizontal="left" wrapText="1"/>
    </xf>
    <xf numFmtId="0" fontId="10" fillId="2" borderId="2" xfId="0" applyFont="1" applyFill="1" applyBorder="1" applyAlignment="1">
      <alignment horizontal="center"/>
    </xf>
    <xf numFmtId="0" fontId="10" fillId="2" borderId="2" xfId="0" applyFont="1" applyFill="1" applyBorder="1" applyAlignment="1">
      <alignment horizontal="left" wrapText="1"/>
    </xf>
    <xf numFmtId="0" fontId="10" fillId="2" borderId="2" xfId="0" applyFont="1" applyFill="1" applyBorder="1" applyAlignment="1">
      <alignment horizontal="center" wrapText="1"/>
    </xf>
    <xf numFmtId="0" fontId="0" fillId="2" borderId="0" xfId="0" applyFill="1"/>
    <xf numFmtId="10" fontId="16" fillId="2" borderId="5" xfId="0" applyNumberFormat="1" applyFont="1" applyFill="1" applyBorder="1" applyAlignment="1">
      <alignment horizontal="center"/>
    </xf>
    <xf numFmtId="0" fontId="5" fillId="0" borderId="0" xfId="0" applyFont="1" applyAlignment="1">
      <alignment wrapText="1"/>
    </xf>
    <xf numFmtId="0" fontId="4" fillId="2" borderId="1" xfId="0" applyFont="1" applyFill="1" applyBorder="1"/>
    <xf numFmtId="0" fontId="0" fillId="0" borderId="1" xfId="0" applyBorder="1"/>
    <xf numFmtId="10" fontId="16" fillId="2" borderId="1" xfId="0" applyNumberFormat="1" applyFont="1" applyFill="1" applyBorder="1"/>
    <xf numFmtId="0" fontId="10" fillId="0" borderId="0" xfId="0" applyFont="1"/>
    <xf numFmtId="0" fontId="10" fillId="0" borderId="4" xfId="0" applyFont="1" applyBorder="1" applyAlignment="1">
      <alignment horizontal="center"/>
    </xf>
    <xf numFmtId="0" fontId="10" fillId="0" borderId="4" xfId="0" applyFont="1" applyBorder="1" applyAlignment="1">
      <alignment horizontal="left" wrapText="1"/>
    </xf>
    <xf numFmtId="0" fontId="7" fillId="0" borderId="0" xfId="0" applyFont="1"/>
    <xf numFmtId="0" fontId="10" fillId="2" borderId="0" xfId="0" applyFont="1" applyFill="1"/>
    <xf numFmtId="0" fontId="10" fillId="0" borderId="9" xfId="0" applyFont="1" applyBorder="1" applyAlignment="1">
      <alignment horizontal="left" wrapText="1"/>
    </xf>
    <xf numFmtId="0" fontId="10" fillId="0" borderId="2" xfId="0" applyFont="1" applyBorder="1" applyAlignment="1">
      <alignment wrapText="1"/>
    </xf>
    <xf numFmtId="0" fontId="4" fillId="0" borderId="0" xfId="0" applyFont="1"/>
    <xf numFmtId="0" fontId="9" fillId="2" borderId="0" xfId="0" applyFont="1" applyFill="1"/>
    <xf numFmtId="10" fontId="16" fillId="2" borderId="0" xfId="0" applyNumberFormat="1" applyFont="1" applyFill="1"/>
    <xf numFmtId="10" fontId="11" fillId="2" borderId="5" xfId="0" applyNumberFormat="1" applyFont="1" applyFill="1" applyBorder="1" applyAlignment="1">
      <alignment horizontal="center" wrapText="1"/>
    </xf>
    <xf numFmtId="0" fontId="10" fillId="2" borderId="6" xfId="0" applyFont="1" applyFill="1" applyBorder="1" applyAlignment="1">
      <alignment horizontal="center"/>
    </xf>
    <xf numFmtId="0" fontId="10" fillId="2" borderId="6" xfId="0" applyFont="1" applyFill="1" applyBorder="1" applyAlignment="1">
      <alignment horizontal="left" wrapText="1"/>
    </xf>
    <xf numFmtId="0" fontId="10" fillId="2" borderId="2" xfId="0" applyFont="1" applyFill="1" applyBorder="1" applyAlignment="1">
      <alignment wrapText="1"/>
    </xf>
    <xf numFmtId="0" fontId="14" fillId="0" borderId="1" xfId="0" applyFont="1" applyBorder="1" applyAlignment="1">
      <alignment horizontal="center"/>
    </xf>
    <xf numFmtId="10" fontId="16" fillId="2" borderId="7" xfId="0" applyNumberFormat="1" applyFont="1" applyFill="1" applyBorder="1" applyAlignment="1">
      <alignment horizontal="center"/>
    </xf>
    <xf numFmtId="10" fontId="16" fillId="2" borderId="14" xfId="0" applyNumberFormat="1" applyFont="1" applyFill="1" applyBorder="1" applyAlignment="1">
      <alignment horizontal="center"/>
    </xf>
    <xf numFmtId="10" fontId="16" fillId="2" borderId="8" xfId="0" applyNumberFormat="1" applyFont="1" applyFill="1" applyBorder="1" applyAlignment="1">
      <alignment horizontal="center"/>
    </xf>
    <xf numFmtId="10" fontId="22" fillId="2" borderId="2" xfId="0" applyNumberFormat="1" applyFont="1" applyFill="1" applyBorder="1" applyAlignment="1">
      <alignment horizontal="center" wrapText="1"/>
    </xf>
    <xf numFmtId="0" fontId="10" fillId="3" borderId="2" xfId="0" applyFont="1" applyFill="1" applyBorder="1" applyAlignment="1">
      <alignment horizontal="center"/>
    </xf>
    <xf numFmtId="10" fontId="16" fillId="3" borderId="5" xfId="0" applyNumberFormat="1" applyFont="1" applyFill="1" applyBorder="1" applyAlignment="1">
      <alignment horizontal="center"/>
    </xf>
    <xf numFmtId="0" fontId="10" fillId="0" borderId="2" xfId="0" applyFont="1" applyBorder="1" applyAlignment="1">
      <alignment horizontal="center" wrapText="1"/>
    </xf>
    <xf numFmtId="0" fontId="10" fillId="0" borderId="5" xfId="0" applyFont="1" applyBorder="1" applyAlignment="1">
      <alignment horizontal="center" wrapText="1"/>
    </xf>
    <xf numFmtId="0" fontId="8" fillId="0" borderId="9" xfId="0" applyFont="1" applyBorder="1" applyAlignment="1">
      <alignment wrapText="1"/>
    </xf>
    <xf numFmtId="0" fontId="1" fillId="2" borderId="0" xfId="0" applyFont="1" applyFill="1"/>
    <xf numFmtId="10" fontId="16" fillId="2" borderId="18" xfId="0" applyNumberFormat="1" applyFont="1" applyFill="1" applyBorder="1" applyAlignment="1">
      <alignment horizontal="center"/>
    </xf>
    <xf numFmtId="0" fontId="27" fillId="0" borderId="2" xfId="0" applyFont="1" applyBorder="1" applyAlignment="1">
      <alignment horizontal="left" wrapText="1"/>
    </xf>
    <xf numFmtId="0" fontId="27" fillId="2" borderId="2" xfId="0" applyFont="1" applyFill="1" applyBorder="1" applyAlignment="1">
      <alignment horizontal="left" wrapText="1"/>
    </xf>
    <xf numFmtId="10" fontId="16" fillId="2" borderId="1" xfId="0" applyNumberFormat="1" applyFont="1" applyFill="1" applyBorder="1" applyAlignment="1">
      <alignment horizontal="center"/>
    </xf>
    <xf numFmtId="10" fontId="11" fillId="2" borderId="5" xfId="0" applyNumberFormat="1" applyFont="1" applyFill="1" applyBorder="1" applyAlignment="1">
      <alignment horizontal="center" vertical="center" wrapText="1"/>
    </xf>
    <xf numFmtId="0" fontId="10" fillId="3" borderId="6" xfId="0" applyFont="1" applyFill="1" applyBorder="1" applyAlignment="1">
      <alignment horizontal="left" wrapText="1"/>
    </xf>
    <xf numFmtId="10" fontId="11" fillId="2" borderId="15" xfId="0" applyNumberFormat="1" applyFont="1" applyFill="1" applyBorder="1" applyAlignment="1">
      <alignment horizontal="center"/>
    </xf>
    <xf numFmtId="10" fontId="11" fillId="2" borderId="2" xfId="0" applyNumberFormat="1" applyFont="1" applyFill="1" applyBorder="1" applyAlignment="1">
      <alignment horizontal="center"/>
    </xf>
    <xf numFmtId="10" fontId="11" fillId="2" borderId="9" xfId="0" applyNumberFormat="1" applyFont="1" applyFill="1" applyBorder="1" applyAlignment="1">
      <alignment horizontal="center"/>
    </xf>
    <xf numFmtId="0" fontId="8" fillId="2" borderId="2" xfId="0" applyFont="1" applyFill="1" applyBorder="1" applyAlignment="1">
      <alignment horizontal="left" wrapText="1"/>
    </xf>
    <xf numFmtId="10" fontId="11" fillId="2" borderId="8" xfId="0" applyNumberFormat="1" applyFont="1" applyFill="1" applyBorder="1" applyAlignment="1">
      <alignment horizontal="center"/>
    </xf>
    <xf numFmtId="10" fontId="11" fillId="2" borderId="14" xfId="0" applyNumberFormat="1" applyFont="1" applyFill="1" applyBorder="1" applyAlignment="1">
      <alignment horizontal="center" wrapText="1"/>
    </xf>
    <xf numFmtId="10" fontId="11" fillId="2" borderId="2" xfId="0" applyNumberFormat="1" applyFont="1" applyFill="1" applyBorder="1" applyAlignment="1">
      <alignment horizontal="center" wrapText="1"/>
    </xf>
    <xf numFmtId="0" fontId="4" fillId="0" borderId="2" xfId="0" applyFont="1" applyBorder="1" applyAlignment="1">
      <alignment horizontal="left" wrapText="1"/>
    </xf>
    <xf numFmtId="10" fontId="11" fillId="2" borderId="7" xfId="0" applyNumberFormat="1" applyFont="1" applyFill="1" applyBorder="1" applyAlignment="1">
      <alignment horizontal="center"/>
    </xf>
    <xf numFmtId="0" fontId="10" fillId="0" borderId="6" xfId="0" applyFont="1" applyBorder="1" applyAlignment="1">
      <alignment horizontal="left" wrapText="1"/>
    </xf>
    <xf numFmtId="10" fontId="16" fillId="2" borderId="2" xfId="0" applyNumberFormat="1" applyFont="1" applyFill="1" applyBorder="1" applyAlignment="1">
      <alignment horizontal="center"/>
    </xf>
    <xf numFmtId="0" fontId="10" fillId="0" borderId="6" xfId="0" applyFont="1" applyBorder="1" applyAlignment="1">
      <alignment horizontal="center"/>
    </xf>
    <xf numFmtId="0" fontId="10" fillId="0" borderId="15" xfId="0" applyFont="1" applyBorder="1" applyAlignment="1">
      <alignment horizontal="left" wrapText="1"/>
    </xf>
    <xf numFmtId="0" fontId="10" fillId="0" borderId="27" xfId="0" applyFont="1" applyBorder="1" applyAlignment="1">
      <alignment horizontal="left" wrapText="1"/>
    </xf>
    <xf numFmtId="10" fontId="16" fillId="2" borderId="20" xfId="0" applyNumberFormat="1" applyFont="1" applyFill="1" applyBorder="1" applyAlignment="1">
      <alignment horizontal="center"/>
    </xf>
    <xf numFmtId="10" fontId="16" fillId="2" borderId="22" xfId="0" applyNumberFormat="1" applyFont="1" applyFill="1" applyBorder="1" applyAlignment="1">
      <alignment horizontal="center"/>
    </xf>
    <xf numFmtId="10" fontId="16" fillId="2" borderId="6" xfId="0" applyNumberFormat="1" applyFont="1" applyFill="1" applyBorder="1" applyAlignment="1">
      <alignment horizontal="center"/>
    </xf>
    <xf numFmtId="10" fontId="16" fillId="2" borderId="4" xfId="0" applyNumberFormat="1" applyFont="1" applyFill="1" applyBorder="1" applyAlignment="1">
      <alignment horizontal="center"/>
    </xf>
    <xf numFmtId="10" fontId="16" fillId="2" borderId="16" xfId="0" applyNumberFormat="1" applyFont="1" applyFill="1" applyBorder="1" applyAlignment="1">
      <alignment horizontal="center"/>
    </xf>
    <xf numFmtId="0" fontId="10" fillId="2" borderId="5" xfId="0" applyFont="1" applyFill="1" applyBorder="1" applyAlignment="1">
      <alignment horizontal="center"/>
    </xf>
    <xf numFmtId="0" fontId="27" fillId="2" borderId="30" xfId="0" applyFont="1" applyFill="1" applyBorder="1" applyAlignment="1">
      <alignment horizontal="center" wrapText="1"/>
    </xf>
    <xf numFmtId="0" fontId="23" fillId="0" borderId="4" xfId="0" applyFont="1" applyBorder="1" applyAlignment="1">
      <alignment horizontal="center"/>
    </xf>
    <xf numFmtId="0" fontId="23" fillId="0" borderId="14" xfId="0" applyFont="1" applyBorder="1" applyAlignment="1">
      <alignment wrapText="1"/>
    </xf>
    <xf numFmtId="0" fontId="27" fillId="0" borderId="34" xfId="0" applyFont="1" applyBorder="1" applyAlignment="1">
      <alignment horizontal="center" wrapText="1"/>
    </xf>
    <xf numFmtId="10" fontId="16" fillId="10" borderId="5" xfId="0" applyNumberFormat="1" applyFont="1" applyFill="1" applyBorder="1" applyAlignment="1">
      <alignment horizontal="center"/>
    </xf>
    <xf numFmtId="0" fontId="10" fillId="12" borderId="2" xfId="0" applyFont="1" applyFill="1" applyBorder="1" applyAlignment="1">
      <alignment horizontal="center"/>
    </xf>
    <xf numFmtId="0" fontId="10" fillId="12" borderId="2" xfId="0" applyFont="1" applyFill="1" applyBorder="1" applyAlignment="1">
      <alignment wrapText="1"/>
    </xf>
    <xf numFmtId="0" fontId="10" fillId="2" borderId="30" xfId="0" applyFont="1" applyFill="1" applyBorder="1" applyAlignment="1">
      <alignment horizontal="center" wrapText="1"/>
    </xf>
    <xf numFmtId="4" fontId="0" fillId="0" borderId="1" xfId="0" applyNumberFormat="1" applyBorder="1" applyAlignment="1">
      <alignment horizontal="center"/>
    </xf>
    <xf numFmtId="4" fontId="4" fillId="7" borderId="5" xfId="0" applyNumberFormat="1" applyFont="1" applyFill="1" applyBorder="1" applyAlignment="1">
      <alignment horizontal="center" vertical="center" wrapText="1"/>
    </xf>
    <xf numFmtId="4" fontId="10" fillId="3" borderId="5" xfId="0" applyNumberFormat="1" applyFont="1" applyFill="1" applyBorder="1" applyAlignment="1">
      <alignment horizontal="center"/>
    </xf>
    <xf numFmtId="4" fontId="10" fillId="4" borderId="5" xfId="0" applyNumberFormat="1" applyFont="1" applyFill="1" applyBorder="1" applyAlignment="1">
      <alignment horizontal="center"/>
    </xf>
    <xf numFmtId="4" fontId="10" fillId="4" borderId="2" xfId="0" applyNumberFormat="1" applyFont="1" applyFill="1" applyBorder="1" applyAlignment="1">
      <alignment horizontal="center"/>
    </xf>
    <xf numFmtId="4" fontId="10" fillId="9" borderId="5" xfId="0" applyNumberFormat="1" applyFont="1" applyFill="1" applyBorder="1" applyAlignment="1">
      <alignment horizontal="center"/>
    </xf>
    <xf numFmtId="4" fontId="4" fillId="3" borderId="5" xfId="0" applyNumberFormat="1" applyFont="1" applyFill="1" applyBorder="1" applyAlignment="1">
      <alignment horizontal="center"/>
    </xf>
    <xf numFmtId="4" fontId="0" fillId="0" borderId="1" xfId="0" applyNumberFormat="1" applyBorder="1"/>
    <xf numFmtId="4" fontId="4" fillId="7" borderId="5" xfId="0" applyNumberFormat="1" applyFont="1" applyFill="1" applyBorder="1" applyAlignment="1">
      <alignment horizontal="center" wrapText="1"/>
    </xf>
    <xf numFmtId="4" fontId="0" fillId="4" borderId="5" xfId="0" applyNumberFormat="1" applyFill="1" applyBorder="1" applyAlignment="1">
      <alignment horizontal="center"/>
    </xf>
    <xf numFmtId="4" fontId="10" fillId="4" borderId="8" xfId="0" applyNumberFormat="1" applyFont="1" applyFill="1" applyBorder="1" applyAlignment="1">
      <alignment horizontal="center"/>
    </xf>
    <xf numFmtId="4" fontId="4" fillId="7" borderId="8" xfId="0" applyNumberFormat="1" applyFont="1" applyFill="1" applyBorder="1" applyAlignment="1">
      <alignment horizontal="center"/>
    </xf>
    <xf numFmtId="4" fontId="10" fillId="4" borderId="14" xfId="0" applyNumberFormat="1" applyFont="1" applyFill="1" applyBorder="1" applyAlignment="1">
      <alignment horizontal="center"/>
    </xf>
    <xf numFmtId="4" fontId="10" fillId="4" borderId="7" xfId="0" applyNumberFormat="1" applyFont="1" applyFill="1" applyBorder="1" applyAlignment="1">
      <alignment horizontal="center"/>
    </xf>
    <xf numFmtId="4" fontId="4" fillId="7" borderId="18" xfId="0" applyNumberFormat="1" applyFont="1" applyFill="1" applyBorder="1" applyAlignment="1">
      <alignment horizontal="center"/>
    </xf>
    <xf numFmtId="4" fontId="4" fillId="3" borderId="2" xfId="0" applyNumberFormat="1" applyFont="1" applyFill="1" applyBorder="1" applyAlignment="1">
      <alignment horizontal="center"/>
    </xf>
    <xf numFmtId="4" fontId="4" fillId="7" borderId="2" xfId="0" applyNumberFormat="1" applyFont="1" applyFill="1" applyBorder="1" applyAlignment="1">
      <alignment horizontal="center" wrapText="1"/>
    </xf>
    <xf numFmtId="4" fontId="10" fillId="5" borderId="2" xfId="0" applyNumberFormat="1" applyFont="1" applyFill="1" applyBorder="1" applyAlignment="1">
      <alignment horizontal="center"/>
    </xf>
    <xf numFmtId="4" fontId="4" fillId="3" borderId="7" xfId="0" applyNumberFormat="1" applyFont="1" applyFill="1" applyBorder="1" applyAlignment="1">
      <alignment horizontal="center"/>
    </xf>
    <xf numFmtId="4" fontId="4" fillId="7" borderId="14" xfId="0" applyNumberFormat="1" applyFont="1" applyFill="1" applyBorder="1" applyAlignment="1">
      <alignment horizontal="center" wrapText="1"/>
    </xf>
    <xf numFmtId="4" fontId="4" fillId="6" borderId="5" xfId="0" applyNumberFormat="1" applyFont="1" applyFill="1" applyBorder="1" applyAlignment="1">
      <alignment horizontal="center"/>
    </xf>
    <xf numFmtId="4" fontId="21" fillId="3" borderId="5" xfId="0" applyNumberFormat="1" applyFont="1" applyFill="1" applyBorder="1" applyAlignment="1">
      <alignment horizontal="center"/>
    </xf>
    <xf numFmtId="4" fontId="21" fillId="6" borderId="2" xfId="0" applyNumberFormat="1" applyFont="1" applyFill="1" applyBorder="1" applyAlignment="1">
      <alignment horizontal="center"/>
    </xf>
    <xf numFmtId="4" fontId="21" fillId="5" borderId="2" xfId="0" applyNumberFormat="1" applyFont="1" applyFill="1" applyBorder="1" applyAlignment="1">
      <alignment horizontal="center"/>
    </xf>
    <xf numFmtId="4" fontId="7" fillId="0" borderId="2" xfId="0" applyNumberFormat="1" applyFont="1" applyBorder="1" applyAlignment="1">
      <alignment horizontal="center" wrapText="1"/>
    </xf>
    <xf numFmtId="4" fontId="0" fillId="0" borderId="0" xfId="0" applyNumberFormat="1"/>
    <xf numFmtId="4" fontId="10" fillId="4" borderId="22" xfId="0" applyNumberFormat="1" applyFont="1" applyFill="1" applyBorder="1" applyAlignment="1">
      <alignment horizontal="center"/>
    </xf>
    <xf numFmtId="4" fontId="10" fillId="4" borderId="6" xfId="0" applyNumberFormat="1" applyFont="1" applyFill="1" applyBorder="1" applyAlignment="1">
      <alignment horizontal="center"/>
    </xf>
    <xf numFmtId="4" fontId="10" fillId="4" borderId="4" xfId="0" applyNumberFormat="1" applyFont="1" applyFill="1" applyBorder="1" applyAlignment="1">
      <alignment horizontal="center"/>
    </xf>
    <xf numFmtId="4" fontId="4" fillId="6" borderId="2" xfId="0" applyNumberFormat="1" applyFont="1" applyFill="1" applyBorder="1" applyAlignment="1">
      <alignment horizontal="center"/>
    </xf>
    <xf numFmtId="4" fontId="21" fillId="3" borderId="2" xfId="0" applyNumberFormat="1" applyFont="1" applyFill="1" applyBorder="1" applyAlignment="1">
      <alignment horizontal="center"/>
    </xf>
    <xf numFmtId="4" fontId="4" fillId="6" borderId="6" xfId="0" applyNumberFormat="1" applyFont="1" applyFill="1" applyBorder="1" applyAlignment="1">
      <alignment horizontal="center"/>
    </xf>
    <xf numFmtId="4" fontId="21" fillId="6" borderId="17" xfId="0" applyNumberFormat="1" applyFont="1" applyFill="1" applyBorder="1" applyAlignment="1">
      <alignment horizontal="center"/>
    </xf>
    <xf numFmtId="4" fontId="21" fillId="5" borderId="5" xfId="0" applyNumberFormat="1" applyFont="1" applyFill="1" applyBorder="1" applyAlignment="1">
      <alignment horizontal="center"/>
    </xf>
    <xf numFmtId="4" fontId="7" fillId="0" borderId="5" xfId="0" applyNumberFormat="1" applyFont="1" applyBorder="1" applyAlignment="1">
      <alignment horizontal="center" wrapText="1"/>
    </xf>
    <xf numFmtId="4" fontId="23" fillId="9" borderId="5" xfId="0" applyNumberFormat="1" applyFont="1" applyFill="1" applyBorder="1" applyAlignment="1">
      <alignment horizontal="center"/>
    </xf>
    <xf numFmtId="4" fontId="10" fillId="9" borderId="2" xfId="0" applyNumberFormat="1" applyFont="1" applyFill="1" applyBorder="1" applyAlignment="1">
      <alignment horizontal="center"/>
    </xf>
    <xf numFmtId="4" fontId="10" fillId="9" borderId="8" xfId="0" applyNumberFormat="1" applyFont="1" applyFill="1" applyBorder="1" applyAlignment="1">
      <alignment horizontal="center"/>
    </xf>
    <xf numFmtId="4" fontId="10" fillId="9" borderId="4" xfId="0" applyNumberFormat="1" applyFont="1" applyFill="1" applyBorder="1" applyAlignment="1">
      <alignment horizontal="center"/>
    </xf>
    <xf numFmtId="4" fontId="10" fillId="9" borderId="7" xfId="0" applyNumberFormat="1" applyFont="1" applyFill="1" applyBorder="1" applyAlignment="1">
      <alignment horizontal="center"/>
    </xf>
    <xf numFmtId="4" fontId="10" fillId="9" borderId="14" xfId="0" applyNumberFormat="1" applyFont="1" applyFill="1" applyBorder="1" applyAlignment="1">
      <alignment horizontal="center"/>
    </xf>
    <xf numFmtId="4" fontId="18" fillId="9" borderId="5" xfId="0" applyNumberFormat="1" applyFont="1" applyFill="1" applyBorder="1" applyAlignment="1">
      <alignment horizontal="center"/>
    </xf>
    <xf numFmtId="4" fontId="10" fillId="9" borderId="20" xfId="0" applyNumberFormat="1" applyFont="1" applyFill="1" applyBorder="1" applyAlignment="1">
      <alignment horizontal="center"/>
    </xf>
    <xf numFmtId="4" fontId="21" fillId="6" borderId="8" xfId="0" applyNumberFormat="1" applyFont="1" applyFill="1" applyBorder="1" applyAlignment="1">
      <alignment horizontal="center"/>
    </xf>
    <xf numFmtId="4" fontId="23" fillId="4" borderId="5" xfId="0" applyNumberFormat="1" applyFont="1" applyFill="1" applyBorder="1" applyAlignment="1">
      <alignment horizontal="center"/>
    </xf>
    <xf numFmtId="4" fontId="10" fillId="10" borderId="2" xfId="0" applyNumberFormat="1" applyFont="1" applyFill="1" applyBorder="1" applyAlignment="1">
      <alignment horizontal="center"/>
    </xf>
    <xf numFmtId="4" fontId="10" fillId="10" borderId="5" xfId="0" applyNumberFormat="1" applyFont="1" applyFill="1" applyBorder="1" applyAlignment="1">
      <alignment horizontal="center"/>
    </xf>
    <xf numFmtId="4" fontId="10" fillId="9" borderId="6" xfId="0" applyNumberFormat="1" applyFont="1" applyFill="1" applyBorder="1" applyAlignment="1">
      <alignment horizontal="center"/>
    </xf>
    <xf numFmtId="0" fontId="10" fillId="12" borderId="2" xfId="0" applyFont="1" applyFill="1" applyBorder="1" applyAlignment="1">
      <alignment horizontal="left" wrapText="1"/>
    </xf>
    <xf numFmtId="0" fontId="10" fillId="12" borderId="2" xfId="0" applyFont="1" applyFill="1" applyBorder="1" applyAlignment="1">
      <alignment horizontal="center" wrapText="1"/>
    </xf>
    <xf numFmtId="0" fontId="24" fillId="2" borderId="0" xfId="0" applyFont="1" applyFill="1" applyAlignment="1">
      <alignment vertical="center"/>
    </xf>
    <xf numFmtId="0" fontId="8" fillId="2" borderId="0" xfId="0" applyFont="1" applyFill="1"/>
    <xf numFmtId="0" fontId="6" fillId="2" borderId="0" xfId="0" applyFont="1" applyFill="1" applyAlignment="1">
      <alignment horizontal="left"/>
    </xf>
    <xf numFmtId="0" fontId="25" fillId="2" borderId="0" xfId="0" applyFont="1" applyFill="1" applyAlignment="1">
      <alignment vertical="top"/>
    </xf>
    <xf numFmtId="0" fontId="0" fillId="0" borderId="0" xfId="0" applyAlignment="1">
      <alignment horizontal="left"/>
    </xf>
    <xf numFmtId="0" fontId="0" fillId="2" borderId="0" xfId="0" applyFill="1" applyAlignment="1">
      <alignment horizontal="left"/>
    </xf>
    <xf numFmtId="0" fontId="5" fillId="0" borderId="0" xfId="0" applyFont="1" applyAlignment="1">
      <alignment horizontal="left"/>
    </xf>
    <xf numFmtId="0" fontId="4" fillId="0" borderId="0" xfId="0" applyFont="1" applyAlignment="1">
      <alignment horizontal="left"/>
    </xf>
    <xf numFmtId="0" fontId="7" fillId="0" borderId="0" xfId="0" applyFont="1" applyAlignment="1">
      <alignment horizontal="left"/>
    </xf>
    <xf numFmtId="0" fontId="17" fillId="0" borderId="0" xfId="0" applyFont="1" applyAlignment="1">
      <alignment horizontal="left"/>
    </xf>
    <xf numFmtId="0" fontId="1" fillId="0" borderId="0" xfId="0" applyFont="1" applyAlignment="1">
      <alignment horizontal="left"/>
    </xf>
    <xf numFmtId="0" fontId="11" fillId="2" borderId="0" xfId="0" applyFont="1" applyFill="1" applyAlignment="1">
      <alignment horizontal="left"/>
    </xf>
    <xf numFmtId="0" fontId="32" fillId="0" borderId="0" xfId="0" applyFont="1" applyAlignment="1">
      <alignment horizontal="left"/>
    </xf>
    <xf numFmtId="0" fontId="10" fillId="0" borderId="0" xfId="0" applyFont="1" applyAlignment="1">
      <alignment horizontal="left"/>
    </xf>
    <xf numFmtId="0" fontId="9" fillId="2" borderId="10" xfId="0" applyFont="1" applyFill="1" applyBorder="1" applyAlignment="1">
      <alignment horizontal="left"/>
    </xf>
    <xf numFmtId="4" fontId="0" fillId="9" borderId="5" xfId="0" applyNumberFormat="1" applyFill="1" applyBorder="1" applyAlignment="1">
      <alignment horizontal="center"/>
    </xf>
    <xf numFmtId="0" fontId="27" fillId="0" borderId="20" xfId="0" applyFont="1" applyBorder="1" applyAlignment="1">
      <alignment horizontal="left" wrapText="1"/>
    </xf>
    <xf numFmtId="10" fontId="11" fillId="2" borderId="5" xfId="0" applyNumberFormat="1" applyFont="1" applyFill="1" applyBorder="1" applyAlignment="1">
      <alignment horizontal="center"/>
    </xf>
    <xf numFmtId="17" fontId="4" fillId="7" borderId="5" xfId="0" applyNumberFormat="1" applyFont="1" applyFill="1" applyBorder="1" applyAlignment="1">
      <alignment horizontal="center" vertical="center" wrapText="1"/>
    </xf>
    <xf numFmtId="4" fontId="10" fillId="9" borderId="22" xfId="0" applyNumberFormat="1" applyFont="1" applyFill="1" applyBorder="1" applyAlignment="1">
      <alignment horizontal="center"/>
    </xf>
    <xf numFmtId="0" fontId="34" fillId="0" borderId="0" xfId="0" applyFont="1" applyAlignment="1">
      <alignment horizontal="left" vertical="center" textRotation="90" wrapText="1"/>
    </xf>
    <xf numFmtId="0" fontId="10" fillId="0" borderId="64" xfId="0" applyFont="1" applyBorder="1" applyAlignment="1">
      <alignment horizontal="center"/>
    </xf>
    <xf numFmtId="0" fontId="10" fillId="0" borderId="50" xfId="0" applyFont="1" applyBorder="1" applyAlignment="1">
      <alignment horizontal="left" wrapText="1"/>
    </xf>
    <xf numFmtId="4" fontId="10" fillId="4" borderId="50" xfId="0" applyNumberFormat="1" applyFont="1" applyFill="1" applyBorder="1" applyAlignment="1">
      <alignment horizontal="center"/>
    </xf>
    <xf numFmtId="10" fontId="16" fillId="2" borderId="50" xfId="0" applyNumberFormat="1" applyFont="1" applyFill="1" applyBorder="1" applyAlignment="1">
      <alignment horizontal="center"/>
    </xf>
    <xf numFmtId="4" fontId="10" fillId="9" borderId="50" xfId="0" applyNumberFormat="1" applyFont="1" applyFill="1" applyBorder="1" applyAlignment="1">
      <alignment horizontal="center"/>
    </xf>
    <xf numFmtId="0" fontId="10" fillId="2" borderId="65" xfId="0" applyFont="1" applyFill="1" applyBorder="1" applyAlignment="1">
      <alignment horizontal="center"/>
    </xf>
    <xf numFmtId="0" fontId="10" fillId="2" borderId="66" xfId="0" applyFont="1" applyFill="1" applyBorder="1" applyAlignment="1">
      <alignment horizontal="center"/>
    </xf>
    <xf numFmtId="0" fontId="10" fillId="2" borderId="54" xfId="0" applyFont="1" applyFill="1" applyBorder="1" applyAlignment="1">
      <alignment horizontal="left" wrapText="1"/>
    </xf>
    <xf numFmtId="4" fontId="10" fillId="4" borderId="54" xfId="0" applyNumberFormat="1" applyFont="1" applyFill="1" applyBorder="1" applyAlignment="1">
      <alignment horizontal="center"/>
    </xf>
    <xf numFmtId="10" fontId="16" fillId="2" borderId="54" xfId="0" applyNumberFormat="1" applyFont="1" applyFill="1" applyBorder="1" applyAlignment="1">
      <alignment horizontal="center"/>
    </xf>
    <xf numFmtId="4" fontId="10" fillId="9" borderId="54" xfId="0" applyNumberFormat="1" applyFont="1" applyFill="1" applyBorder="1" applyAlignment="1">
      <alignment horizontal="center"/>
    </xf>
    <xf numFmtId="0" fontId="26" fillId="2" borderId="0" xfId="0" applyFont="1" applyFill="1" applyAlignment="1">
      <alignment vertical="center" wrapText="1"/>
    </xf>
    <xf numFmtId="4" fontId="23" fillId="9" borderId="8" xfId="0" applyNumberFormat="1" applyFont="1" applyFill="1" applyBorder="1" applyAlignment="1">
      <alignment horizontal="center"/>
    </xf>
    <xf numFmtId="17" fontId="4" fillId="7" borderId="5" xfId="0" applyNumberFormat="1" applyFont="1" applyFill="1" applyBorder="1" applyAlignment="1">
      <alignment horizontal="center" wrapText="1"/>
    </xf>
    <xf numFmtId="4" fontId="43" fillId="9" borderId="5" xfId="0" applyNumberFormat="1" applyFont="1" applyFill="1" applyBorder="1" applyAlignment="1">
      <alignment horizontal="center"/>
    </xf>
    <xf numFmtId="4" fontId="8" fillId="2" borderId="0" xfId="0" applyNumberFormat="1" applyFont="1" applyFill="1"/>
    <xf numFmtId="0" fontId="1" fillId="2" borderId="0" xfId="0" applyFont="1" applyFill="1" applyAlignment="1">
      <alignment horizontal="left"/>
    </xf>
    <xf numFmtId="0" fontId="1" fillId="0" borderId="0" xfId="0" applyFont="1"/>
    <xf numFmtId="0" fontId="4" fillId="0" borderId="0" xfId="0" applyFont="1" applyAlignment="1">
      <alignment vertical="center" wrapText="1"/>
    </xf>
    <xf numFmtId="4" fontId="10" fillId="0" borderId="2" xfId="0" applyNumberFormat="1" applyFont="1" applyBorder="1" applyAlignment="1">
      <alignment horizontal="center"/>
    </xf>
    <xf numFmtId="10" fontId="16" fillId="0" borderId="5" xfId="0" applyNumberFormat="1" applyFont="1" applyBorder="1" applyAlignment="1">
      <alignment horizontal="center"/>
    </xf>
    <xf numFmtId="4" fontId="10" fillId="12" borderId="6" xfId="0" applyNumberFormat="1" applyFont="1" applyFill="1" applyBorder="1" applyAlignment="1">
      <alignment horizontal="center"/>
    </xf>
    <xf numFmtId="0" fontId="46" fillId="0" borderId="0" xfId="0" applyFont="1"/>
    <xf numFmtId="1" fontId="46" fillId="0" borderId="0" xfId="0" applyNumberFormat="1" applyFont="1"/>
    <xf numFmtId="0" fontId="49" fillId="0" borderId="2" xfId="0" applyFont="1" applyBorder="1" applyAlignment="1">
      <alignment horizontal="left"/>
    </xf>
    <xf numFmtId="0" fontId="50" fillId="0" borderId="6" xfId="0" applyFont="1" applyBorder="1"/>
    <xf numFmtId="165" fontId="51" fillId="16" borderId="10" xfId="0" applyNumberFormat="1" applyFont="1" applyFill="1" applyBorder="1" applyAlignment="1">
      <alignment horizontal="center"/>
    </xf>
    <xf numFmtId="165" fontId="50" fillId="17" borderId="16" xfId="0" applyNumberFormat="1" applyFont="1" applyFill="1" applyBorder="1" applyAlignment="1">
      <alignment horizontal="center"/>
    </xf>
    <xf numFmtId="9" fontId="52" fillId="17" borderId="10" xfId="0" applyNumberFormat="1" applyFont="1" applyFill="1" applyBorder="1" applyAlignment="1">
      <alignment horizontal="center"/>
    </xf>
    <xf numFmtId="165" fontId="51" fillId="9" borderId="16" xfId="0" applyNumberFormat="1" applyFont="1" applyFill="1" applyBorder="1" applyAlignment="1">
      <alignment horizontal="center"/>
    </xf>
    <xf numFmtId="9" fontId="52" fillId="9" borderId="10" xfId="0" applyNumberFormat="1" applyFont="1" applyFill="1" applyBorder="1" applyAlignment="1">
      <alignment horizontal="center"/>
    </xf>
    <xf numFmtId="165" fontId="51" fillId="15" borderId="16" xfId="0" applyNumberFormat="1" applyFont="1" applyFill="1" applyBorder="1" applyAlignment="1">
      <alignment horizontal="center"/>
    </xf>
    <xf numFmtId="9" fontId="52" fillId="15" borderId="10" xfId="0" applyNumberFormat="1" applyFont="1" applyFill="1" applyBorder="1" applyAlignment="1">
      <alignment horizontal="center"/>
    </xf>
    <xf numFmtId="165" fontId="51" fillId="17" borderId="16" xfId="0" applyNumberFormat="1" applyFont="1" applyFill="1" applyBorder="1" applyAlignment="1">
      <alignment horizontal="center"/>
    </xf>
    <xf numFmtId="0" fontId="50" fillId="0" borderId="16" xfId="0" applyFont="1" applyBorder="1"/>
    <xf numFmtId="165" fontId="54" fillId="9" borderId="12" xfId="0" applyNumberFormat="1" applyFont="1" applyFill="1" applyBorder="1" applyAlignment="1">
      <alignment horizontal="center"/>
    </xf>
    <xf numFmtId="0" fontId="49" fillId="0" borderId="4" xfId="0" applyFont="1" applyBorder="1" applyAlignment="1">
      <alignment horizontal="left"/>
    </xf>
    <xf numFmtId="0" fontId="46" fillId="2" borderId="1" xfId="0" applyFont="1" applyFill="1" applyBorder="1" applyAlignment="1">
      <alignment horizontal="center" wrapText="1"/>
    </xf>
    <xf numFmtId="0" fontId="46" fillId="2" borderId="14" xfId="0" applyFont="1" applyFill="1" applyBorder="1" applyAlignment="1">
      <alignment horizontal="center" wrapText="1"/>
    </xf>
    <xf numFmtId="1" fontId="56" fillId="2" borderId="1" xfId="0" applyNumberFormat="1" applyFont="1" applyFill="1" applyBorder="1" applyAlignment="1">
      <alignment horizontal="center" wrapText="1"/>
    </xf>
    <xf numFmtId="1" fontId="56" fillId="2" borderId="27" xfId="0" applyNumberFormat="1" applyFont="1" applyFill="1" applyBorder="1" applyAlignment="1">
      <alignment horizontal="center" wrapText="1"/>
    </xf>
    <xf numFmtId="165" fontId="50" fillId="16" borderId="7" xfId="0" applyNumberFormat="1" applyFont="1" applyFill="1" applyBorder="1" applyAlignment="1">
      <alignment horizontal="center"/>
    </xf>
    <xf numFmtId="165" fontId="51" fillId="17" borderId="6" xfId="0" applyNumberFormat="1" applyFont="1" applyFill="1" applyBorder="1" applyAlignment="1">
      <alignment horizontal="center"/>
    </xf>
    <xf numFmtId="165" fontId="50" fillId="9" borderId="6" xfId="0" applyNumberFormat="1" applyFont="1" applyFill="1" applyBorder="1" applyAlignment="1">
      <alignment horizontal="center"/>
    </xf>
    <xf numFmtId="165" fontId="51" fillId="15" borderId="6" xfId="0" applyNumberFormat="1" applyFont="1" applyFill="1" applyBorder="1" applyAlignment="1">
      <alignment horizontal="center"/>
    </xf>
    <xf numFmtId="9" fontId="52" fillId="15" borderId="7" xfId="0" applyNumberFormat="1" applyFont="1" applyFill="1" applyBorder="1" applyAlignment="1">
      <alignment horizontal="center"/>
    </xf>
    <xf numFmtId="165" fontId="57" fillId="16" borderId="5" xfId="0" applyNumberFormat="1" applyFont="1" applyFill="1" applyBorder="1" applyAlignment="1">
      <alignment horizontal="center"/>
    </xf>
    <xf numFmtId="165" fontId="57" fillId="17" borderId="2" xfId="0" applyNumberFormat="1" applyFont="1" applyFill="1" applyBorder="1" applyAlignment="1">
      <alignment horizontal="center"/>
    </xf>
    <xf numFmtId="9" fontId="58" fillId="17" borderId="5" xfId="0" applyNumberFormat="1" applyFont="1" applyFill="1" applyBorder="1" applyAlignment="1">
      <alignment horizontal="center"/>
    </xf>
    <xf numFmtId="165" fontId="57" fillId="9" borderId="2" xfId="0" applyNumberFormat="1" applyFont="1" applyFill="1" applyBorder="1" applyAlignment="1">
      <alignment horizontal="center"/>
    </xf>
    <xf numFmtId="9" fontId="58" fillId="9" borderId="5" xfId="0" applyNumberFormat="1" applyFont="1" applyFill="1" applyBorder="1" applyAlignment="1">
      <alignment horizontal="center"/>
    </xf>
    <xf numFmtId="165" fontId="57" fillId="15" borderId="2" xfId="0" applyNumberFormat="1" applyFont="1" applyFill="1" applyBorder="1" applyAlignment="1">
      <alignment horizontal="center"/>
    </xf>
    <xf numFmtId="9" fontId="58" fillId="15" borderId="5" xfId="0" applyNumberFormat="1" applyFont="1" applyFill="1" applyBorder="1" applyAlignment="1">
      <alignment horizontal="center"/>
    </xf>
    <xf numFmtId="165" fontId="50" fillId="9" borderId="16" xfId="0" applyNumberFormat="1" applyFont="1" applyFill="1" applyBorder="1" applyAlignment="1">
      <alignment horizontal="center"/>
    </xf>
    <xf numFmtId="165" fontId="51" fillId="15" borderId="21" xfId="0" applyNumberFormat="1" applyFont="1" applyFill="1" applyBorder="1" applyAlignment="1">
      <alignment horizontal="center"/>
    </xf>
    <xf numFmtId="9" fontId="52" fillId="15" borderId="59" xfId="0" applyNumberFormat="1" applyFont="1" applyFill="1" applyBorder="1" applyAlignment="1">
      <alignment horizontal="center"/>
    </xf>
    <xf numFmtId="165" fontId="53" fillId="16" borderId="57" xfId="0" applyNumberFormat="1" applyFont="1" applyFill="1" applyBorder="1" applyAlignment="1">
      <alignment horizontal="center"/>
    </xf>
    <xf numFmtId="165" fontId="54" fillId="17" borderId="12" xfId="0" applyNumberFormat="1" applyFont="1" applyFill="1" applyBorder="1" applyAlignment="1">
      <alignment horizontal="center"/>
    </xf>
    <xf numFmtId="9" fontId="55" fillId="17" borderId="57" xfId="0" applyNumberFormat="1" applyFont="1" applyFill="1" applyBorder="1" applyAlignment="1">
      <alignment horizontal="center"/>
    </xf>
    <xf numFmtId="9" fontId="55" fillId="9" borderId="13" xfId="0" applyNumberFormat="1" applyFont="1" applyFill="1" applyBorder="1" applyAlignment="1">
      <alignment horizontal="center"/>
    </xf>
    <xf numFmtId="165" fontId="54" fillId="15" borderId="11" xfId="0" applyNumberFormat="1" applyFont="1" applyFill="1" applyBorder="1" applyAlignment="1">
      <alignment horizontal="center"/>
    </xf>
    <xf numFmtId="9" fontId="55" fillId="15" borderId="57" xfId="0" applyNumberFormat="1" applyFont="1" applyFill="1" applyBorder="1" applyAlignment="1">
      <alignment horizontal="center"/>
    </xf>
    <xf numFmtId="0" fontId="52" fillId="0" borderId="16" xfId="0" applyFont="1" applyBorder="1" applyAlignment="1">
      <alignment wrapText="1"/>
    </xf>
    <xf numFmtId="165" fontId="60" fillId="16" borderId="10" xfId="0" applyNumberFormat="1" applyFont="1" applyFill="1" applyBorder="1" applyAlignment="1">
      <alignment horizontal="center"/>
    </xf>
    <xf numFmtId="165" fontId="60" fillId="17" borderId="16" xfId="0" applyNumberFormat="1" applyFont="1" applyFill="1" applyBorder="1" applyAlignment="1">
      <alignment horizontal="center"/>
    </xf>
    <xf numFmtId="9" fontId="60" fillId="17" borderId="10" xfId="0" applyNumberFormat="1" applyFont="1" applyFill="1" applyBorder="1" applyAlignment="1">
      <alignment horizontal="center"/>
    </xf>
    <xf numFmtId="165" fontId="60" fillId="9" borderId="16" xfId="0" applyNumberFormat="1" applyFont="1" applyFill="1" applyBorder="1" applyAlignment="1">
      <alignment horizontal="center"/>
    </xf>
    <xf numFmtId="9" fontId="60" fillId="9" borderId="10" xfId="0" applyNumberFormat="1" applyFont="1" applyFill="1" applyBorder="1" applyAlignment="1">
      <alignment horizontal="center"/>
    </xf>
    <xf numFmtId="165" fontId="60" fillId="15" borderId="12" xfId="0" applyNumberFormat="1" applyFont="1" applyFill="1" applyBorder="1" applyAlignment="1">
      <alignment horizontal="center"/>
    </xf>
    <xf numFmtId="9" fontId="61" fillId="15" borderId="57" xfId="0" applyNumberFormat="1" applyFont="1" applyFill="1" applyBorder="1" applyAlignment="1">
      <alignment horizontal="center"/>
    </xf>
    <xf numFmtId="0" fontId="53" fillId="0" borderId="11" xfId="0" applyFont="1" applyBorder="1"/>
    <xf numFmtId="0" fontId="50" fillId="16" borderId="5" xfId="0" applyFont="1" applyFill="1" applyBorder="1" applyAlignment="1">
      <alignment horizontal="center" wrapText="1"/>
    </xf>
    <xf numFmtId="0" fontId="50" fillId="17" borderId="2" xfId="0" applyFont="1" applyFill="1" applyBorder="1" applyAlignment="1">
      <alignment horizontal="center" wrapText="1"/>
    </xf>
    <xf numFmtId="1" fontId="56" fillId="17" borderId="5" xfId="0" applyNumberFormat="1" applyFont="1" applyFill="1" applyBorder="1" applyAlignment="1">
      <alignment horizontal="center" wrapText="1"/>
    </xf>
    <xf numFmtId="0" fontId="50" fillId="9" borderId="2" xfId="0" applyFont="1" applyFill="1" applyBorder="1" applyAlignment="1">
      <alignment horizontal="center" wrapText="1"/>
    </xf>
    <xf numFmtId="1" fontId="56" fillId="9" borderId="5" xfId="0" applyNumberFormat="1" applyFont="1" applyFill="1" applyBorder="1" applyAlignment="1">
      <alignment horizontal="center" wrapText="1"/>
    </xf>
    <xf numFmtId="0" fontId="50" fillId="15" borderId="2" xfId="0" applyFont="1" applyFill="1" applyBorder="1" applyAlignment="1">
      <alignment horizontal="center" wrapText="1"/>
    </xf>
    <xf numFmtId="1" fontId="56" fillId="15" borderId="5" xfId="0" applyNumberFormat="1" applyFont="1" applyFill="1" applyBorder="1" applyAlignment="1">
      <alignment horizontal="center" wrapText="1"/>
    </xf>
    <xf numFmtId="0" fontId="50" fillId="0" borderId="0" xfId="0" applyFont="1" applyAlignment="1">
      <alignment wrapText="1"/>
    </xf>
    <xf numFmtId="165" fontId="51" fillId="16" borderId="5" xfId="0" applyNumberFormat="1" applyFont="1" applyFill="1" applyBorder="1" applyAlignment="1">
      <alignment horizontal="center"/>
    </xf>
    <xf numFmtId="165" fontId="63" fillId="17" borderId="6" xfId="0" applyNumberFormat="1" applyFont="1" applyFill="1" applyBorder="1" applyAlignment="1">
      <alignment horizontal="center"/>
    </xf>
    <xf numFmtId="9" fontId="64" fillId="17" borderId="7" xfId="0" applyNumberFormat="1" applyFont="1" applyFill="1" applyBorder="1" applyAlignment="1">
      <alignment horizontal="center"/>
    </xf>
    <xf numFmtId="165" fontId="63" fillId="9" borderId="2" xfId="0" applyNumberFormat="1" applyFont="1" applyFill="1" applyBorder="1" applyAlignment="1">
      <alignment horizontal="center"/>
    </xf>
    <xf numFmtId="9" fontId="64" fillId="9" borderId="5" xfId="0" applyNumberFormat="1" applyFont="1" applyFill="1" applyBorder="1" applyAlignment="1">
      <alignment horizontal="center"/>
    </xf>
    <xf numFmtId="165" fontId="63" fillId="15" borderId="2" xfId="0" applyNumberFormat="1" applyFont="1" applyFill="1" applyBorder="1" applyAlignment="1">
      <alignment horizontal="center"/>
    </xf>
    <xf numFmtId="9" fontId="64" fillId="15" borderId="5" xfId="0" applyNumberFormat="1" applyFont="1" applyFill="1" applyBorder="1" applyAlignment="1">
      <alignment horizontal="center"/>
    </xf>
    <xf numFmtId="0" fontId="59" fillId="0" borderId="0" xfId="0" applyFont="1"/>
    <xf numFmtId="165" fontId="46" fillId="2" borderId="0" xfId="0" applyNumberFormat="1" applyFont="1" applyFill="1" applyAlignment="1">
      <alignment horizontal="center"/>
    </xf>
    <xf numFmtId="165" fontId="46" fillId="2" borderId="7" xfId="0" applyNumberFormat="1" applyFont="1" applyFill="1" applyBorder="1" applyAlignment="1">
      <alignment horizontal="center"/>
    </xf>
    <xf numFmtId="1" fontId="46" fillId="2" borderId="45" xfId="0" applyNumberFormat="1" applyFont="1" applyFill="1" applyBorder="1" applyAlignment="1">
      <alignment horizontal="center"/>
    </xf>
    <xf numFmtId="165" fontId="46" fillId="2" borderId="10" xfId="0" applyNumberFormat="1" applyFont="1" applyFill="1" applyBorder="1" applyAlignment="1">
      <alignment horizontal="center"/>
    </xf>
    <xf numFmtId="1" fontId="46" fillId="2" borderId="0" xfId="0" applyNumberFormat="1" applyFont="1" applyFill="1" applyAlignment="1">
      <alignment horizontal="center"/>
    </xf>
    <xf numFmtId="165" fontId="46" fillId="2" borderId="45" xfId="0" applyNumberFormat="1" applyFont="1" applyFill="1" applyBorder="1" applyAlignment="1">
      <alignment horizontal="center"/>
    </xf>
    <xf numFmtId="164" fontId="55" fillId="19" borderId="6" xfId="0" applyNumberFormat="1" applyFont="1" applyFill="1" applyBorder="1" applyAlignment="1">
      <alignment horizontal="center"/>
    </xf>
    <xf numFmtId="164" fontId="63" fillId="2" borderId="10" xfId="0" applyNumberFormat="1" applyFont="1" applyFill="1" applyBorder="1" applyAlignment="1">
      <alignment horizontal="center" wrapText="1"/>
    </xf>
    <xf numFmtId="164" fontId="55" fillId="13" borderId="6" xfId="0" applyNumberFormat="1" applyFont="1" applyFill="1" applyBorder="1" applyAlignment="1">
      <alignment horizontal="center"/>
    </xf>
    <xf numFmtId="4" fontId="66" fillId="2" borderId="0" xfId="0" applyNumberFormat="1" applyFont="1" applyFill="1" applyAlignment="1">
      <alignment horizontal="center"/>
    </xf>
    <xf numFmtId="4" fontId="63" fillId="2" borderId="0" xfId="0" applyNumberFormat="1" applyFont="1" applyFill="1" applyAlignment="1">
      <alignment horizontal="center"/>
    </xf>
    <xf numFmtId="0" fontId="50" fillId="0" borderId="0" xfId="0" applyFont="1" applyAlignment="1">
      <alignment horizontal="left"/>
    </xf>
    <xf numFmtId="164" fontId="53" fillId="16" borderId="7" xfId="0" applyNumberFormat="1" applyFont="1" applyFill="1" applyBorder="1" applyAlignment="1">
      <alignment horizontal="center"/>
    </xf>
    <xf numFmtId="164" fontId="54" fillId="17" borderId="6" xfId="0" applyNumberFormat="1" applyFont="1" applyFill="1" applyBorder="1" applyAlignment="1">
      <alignment horizontal="center"/>
    </xf>
    <xf numFmtId="164" fontId="54" fillId="9" borderId="6" xfId="0" applyNumberFormat="1" applyFont="1" applyFill="1" applyBorder="1" applyAlignment="1">
      <alignment horizontal="center"/>
    </xf>
    <xf numFmtId="164" fontId="66" fillId="2" borderId="10" xfId="0" applyNumberFormat="1" applyFont="1" applyFill="1" applyBorder="1" applyAlignment="1">
      <alignment horizontal="center"/>
    </xf>
    <xf numFmtId="164" fontId="54" fillId="15" borderId="6" xfId="0" applyNumberFormat="1" applyFont="1" applyFill="1" applyBorder="1" applyAlignment="1">
      <alignment horizontal="center"/>
    </xf>
    <xf numFmtId="164" fontId="53" fillId="13" borderId="7" xfId="0" applyNumberFormat="1" applyFont="1" applyFill="1" applyBorder="1" applyAlignment="1">
      <alignment horizontal="center"/>
    </xf>
    <xf numFmtId="164" fontId="54" fillId="19" borderId="6" xfId="0" applyNumberFormat="1" applyFont="1" applyFill="1" applyBorder="1" applyAlignment="1">
      <alignment horizontal="center"/>
    </xf>
    <xf numFmtId="164" fontId="50" fillId="2" borderId="10" xfId="0" applyNumberFormat="1" applyFont="1" applyFill="1" applyBorder="1" applyAlignment="1">
      <alignment horizontal="center" wrapText="1"/>
    </xf>
    <xf numFmtId="164" fontId="54" fillId="13" borderId="6" xfId="0" applyNumberFormat="1" applyFont="1" applyFill="1" applyBorder="1" applyAlignment="1">
      <alignment horizontal="center"/>
    </xf>
    <xf numFmtId="164" fontId="62" fillId="2" borderId="10" xfId="0" applyNumberFormat="1" applyFont="1" applyFill="1" applyBorder="1" applyAlignment="1">
      <alignment horizontal="center"/>
    </xf>
    <xf numFmtId="164" fontId="54" fillId="13" borderId="22" xfId="0" applyNumberFormat="1" applyFont="1" applyFill="1" applyBorder="1" applyAlignment="1">
      <alignment horizontal="center"/>
    </xf>
    <xf numFmtId="10" fontId="51" fillId="12" borderId="61" xfId="0" applyNumberFormat="1" applyFont="1" applyFill="1" applyBorder="1" applyAlignment="1">
      <alignment horizontal="center"/>
    </xf>
    <xf numFmtId="10" fontId="51" fillId="12" borderId="22" xfId="0" applyNumberFormat="1" applyFont="1" applyFill="1" applyBorder="1" applyAlignment="1">
      <alignment horizontal="center"/>
    </xf>
    <xf numFmtId="164" fontId="54" fillId="2" borderId="22" xfId="0" applyNumberFormat="1" applyFont="1" applyFill="1" applyBorder="1" applyAlignment="1">
      <alignment horizontal="center"/>
    </xf>
    <xf numFmtId="164" fontId="53" fillId="13" borderId="58" xfId="0" applyNumberFormat="1" applyFont="1" applyFill="1" applyBorder="1" applyAlignment="1">
      <alignment horizontal="center" vertical="center"/>
    </xf>
    <xf numFmtId="164" fontId="54" fillId="19" borderId="20" xfId="0" applyNumberFormat="1" applyFont="1" applyFill="1" applyBorder="1" applyAlignment="1">
      <alignment horizontal="center" vertical="center"/>
    </xf>
    <xf numFmtId="10" fontId="51" fillId="17" borderId="58" xfId="0" applyNumberFormat="1" applyFont="1" applyFill="1" applyBorder="1" applyAlignment="1">
      <alignment horizontal="center" vertical="center"/>
    </xf>
    <xf numFmtId="164" fontId="54" fillId="13" borderId="20" xfId="0" applyNumberFormat="1" applyFont="1" applyFill="1" applyBorder="1" applyAlignment="1">
      <alignment horizontal="center" vertical="center"/>
    </xf>
    <xf numFmtId="10" fontId="51" fillId="9" borderId="58" xfId="0" applyNumberFormat="1" applyFont="1" applyFill="1" applyBorder="1" applyAlignment="1">
      <alignment horizontal="center" vertical="center"/>
    </xf>
    <xf numFmtId="10" fontId="54" fillId="15" borderId="58" xfId="0" applyNumberFormat="1" applyFont="1" applyFill="1" applyBorder="1" applyAlignment="1">
      <alignment horizontal="center" vertical="center"/>
    </xf>
    <xf numFmtId="164" fontId="54" fillId="12" borderId="25" xfId="0" applyNumberFormat="1" applyFont="1" applyFill="1" applyBorder="1" applyAlignment="1">
      <alignment horizontal="center" vertical="center"/>
    </xf>
    <xf numFmtId="3" fontId="53" fillId="13" borderId="59" xfId="0" applyNumberFormat="1" applyFont="1" applyFill="1" applyBorder="1" applyAlignment="1">
      <alignment horizontal="center" vertical="center"/>
    </xf>
    <xf numFmtId="1" fontId="54" fillId="19" borderId="21" xfId="0" applyNumberFormat="1" applyFont="1" applyFill="1" applyBorder="1" applyAlignment="1">
      <alignment horizontal="center" vertical="center"/>
    </xf>
    <xf numFmtId="2" fontId="63" fillId="2" borderId="61" xfId="0" applyNumberFormat="1" applyFont="1" applyFill="1" applyBorder="1" applyAlignment="1">
      <alignment horizontal="center" vertical="center"/>
    </xf>
    <xf numFmtId="1" fontId="54" fillId="13" borderId="21" xfId="0" applyNumberFormat="1" applyFont="1" applyFill="1" applyBorder="1" applyAlignment="1">
      <alignment horizontal="center" vertical="center"/>
    </xf>
    <xf numFmtId="10" fontId="63" fillId="2" borderId="61" xfId="0" applyNumberFormat="1" applyFont="1" applyFill="1" applyBorder="1" applyAlignment="1">
      <alignment horizontal="center" vertical="center"/>
    </xf>
    <xf numFmtId="164" fontId="53" fillId="8" borderId="14" xfId="0" applyNumberFormat="1" applyFont="1" applyFill="1" applyBorder="1" applyAlignment="1">
      <alignment horizontal="center"/>
    </xf>
    <xf numFmtId="164" fontId="54" fillId="8" borderId="4" xfId="0" applyNumberFormat="1" applyFont="1" applyFill="1" applyBorder="1" applyAlignment="1">
      <alignment horizontal="center"/>
    </xf>
    <xf numFmtId="10" fontId="50" fillId="2" borderId="7" xfId="0" applyNumberFormat="1" applyFont="1" applyFill="1" applyBorder="1" applyAlignment="1">
      <alignment horizontal="center"/>
    </xf>
    <xf numFmtId="164" fontId="54" fillId="8" borderId="27" xfId="0" applyNumberFormat="1" applyFont="1" applyFill="1" applyBorder="1" applyAlignment="1">
      <alignment horizontal="center"/>
    </xf>
    <xf numFmtId="0" fontId="51" fillId="0" borderId="23" xfId="0" applyFont="1" applyBorder="1" applyAlignment="1">
      <alignment horizontal="left" vertical="center" wrapText="1"/>
    </xf>
    <xf numFmtId="164" fontId="51" fillId="16" borderId="10" xfId="0" applyNumberFormat="1" applyFont="1" applyFill="1" applyBorder="1" applyAlignment="1">
      <alignment horizontal="center" vertical="center"/>
    </xf>
    <xf numFmtId="164" fontId="63" fillId="17" borderId="16" xfId="0" applyNumberFormat="1" applyFont="1" applyFill="1" applyBorder="1" applyAlignment="1">
      <alignment horizontal="center" vertical="center"/>
    </xf>
    <xf numFmtId="9" fontId="63" fillId="0" borderId="10" xfId="0" applyNumberFormat="1" applyFont="1" applyBorder="1" applyAlignment="1">
      <alignment horizontal="center" vertical="center"/>
    </xf>
    <xf numFmtId="164" fontId="63" fillId="9" borderId="16" xfId="0" applyNumberFormat="1" applyFont="1" applyFill="1" applyBorder="1" applyAlignment="1">
      <alignment horizontal="center" vertical="center"/>
    </xf>
    <xf numFmtId="164" fontId="63" fillId="15" borderId="16" xfId="0" applyNumberFormat="1" applyFont="1" applyFill="1" applyBorder="1" applyAlignment="1">
      <alignment horizontal="center" vertical="center"/>
    </xf>
    <xf numFmtId="9" fontId="63" fillId="0" borderId="10" xfId="0" applyNumberFormat="1" applyFont="1" applyBorder="1" applyAlignment="1">
      <alignment horizontal="center"/>
    </xf>
    <xf numFmtId="164" fontId="65" fillId="5" borderId="57" xfId="0" applyNumberFormat="1" applyFont="1" applyFill="1" applyBorder="1" applyAlignment="1">
      <alignment horizontal="center" vertical="center"/>
    </xf>
    <xf numFmtId="164" fontId="55" fillId="5" borderId="12" xfId="0" applyNumberFormat="1" applyFont="1" applyFill="1" applyBorder="1" applyAlignment="1">
      <alignment horizontal="center" vertical="center"/>
    </xf>
    <xf numFmtId="1" fontId="64" fillId="0" borderId="42" xfId="0" applyNumberFormat="1" applyFont="1" applyBorder="1" applyAlignment="1">
      <alignment horizontal="center" vertical="center"/>
    </xf>
    <xf numFmtId="164" fontId="55" fillId="5" borderId="24" xfId="0" applyNumberFormat="1" applyFont="1" applyFill="1" applyBorder="1" applyAlignment="1">
      <alignment horizontal="center" vertical="center"/>
    </xf>
    <xf numFmtId="1" fontId="63" fillId="0" borderId="42" xfId="0" applyNumberFormat="1" applyFont="1" applyBorder="1" applyAlignment="1">
      <alignment horizontal="center"/>
    </xf>
    <xf numFmtId="0" fontId="65" fillId="0" borderId="0" xfId="0" applyFont="1"/>
    <xf numFmtId="0" fontId="67" fillId="0" borderId="0" xfId="0" applyFont="1" applyAlignment="1">
      <alignment horizontal="center" wrapText="1"/>
    </xf>
    <xf numFmtId="1" fontId="68" fillId="0" borderId="0" xfId="0" applyNumberFormat="1" applyFont="1"/>
    <xf numFmtId="0" fontId="10" fillId="12" borderId="6" xfId="0" applyFont="1" applyFill="1" applyBorder="1" applyAlignment="1">
      <alignment horizontal="center"/>
    </xf>
    <xf numFmtId="0" fontId="10" fillId="12" borderId="6" xfId="0" applyFont="1" applyFill="1" applyBorder="1" applyAlignment="1">
      <alignment horizontal="left" wrapText="1"/>
    </xf>
    <xf numFmtId="164" fontId="41" fillId="2" borderId="0" xfId="0" applyNumberFormat="1" applyFont="1" applyFill="1" applyAlignment="1">
      <alignment horizontal="center"/>
    </xf>
    <xf numFmtId="0" fontId="10" fillId="12" borderId="10" xfId="0" applyFont="1" applyFill="1" applyBorder="1" applyAlignment="1">
      <alignment horizontal="left" vertical="center" wrapText="1"/>
    </xf>
    <xf numFmtId="0" fontId="10" fillId="12" borderId="0" xfId="0" applyFont="1" applyFill="1" applyAlignment="1">
      <alignment horizontal="left" vertical="center" wrapText="1"/>
    </xf>
    <xf numFmtId="0" fontId="10" fillId="0" borderId="2" xfId="0" applyFont="1" applyBorder="1" applyAlignment="1">
      <alignment horizontal="center" vertical="center"/>
    </xf>
    <xf numFmtId="0" fontId="27" fillId="0" borderId="2" xfId="0" applyFont="1" applyBorder="1" applyAlignment="1">
      <alignment horizontal="left" vertical="center" wrapText="1"/>
    </xf>
    <xf numFmtId="4" fontId="10" fillId="4" borderId="5" xfId="0" applyNumberFormat="1" applyFont="1" applyFill="1" applyBorder="1" applyAlignment="1">
      <alignment horizontal="center" vertical="center"/>
    </xf>
    <xf numFmtId="10" fontId="16" fillId="2" borderId="5" xfId="0" applyNumberFormat="1" applyFont="1" applyFill="1" applyBorder="1" applyAlignment="1">
      <alignment horizontal="center" vertical="center"/>
    </xf>
    <xf numFmtId="4" fontId="10" fillId="9" borderId="5" xfId="0" applyNumberFormat="1" applyFont="1" applyFill="1" applyBorder="1" applyAlignment="1">
      <alignment horizontal="center" vertical="center"/>
    </xf>
    <xf numFmtId="165" fontId="51" fillId="21" borderId="23" xfId="0" applyNumberFormat="1" applyFont="1" applyFill="1" applyBorder="1" applyAlignment="1">
      <alignment horizontal="center"/>
    </xf>
    <xf numFmtId="9" fontId="50" fillId="21" borderId="16" xfId="0" applyNumberFormat="1" applyFont="1" applyFill="1" applyBorder="1" applyAlignment="1">
      <alignment horizontal="center"/>
    </xf>
    <xf numFmtId="165" fontId="51" fillId="21" borderId="15" xfId="0" applyNumberFormat="1" applyFont="1" applyFill="1" applyBorder="1" applyAlignment="1">
      <alignment horizontal="center"/>
    </xf>
    <xf numFmtId="9" fontId="52" fillId="21" borderId="16" xfId="0" applyNumberFormat="1" applyFont="1" applyFill="1" applyBorder="1" applyAlignment="1">
      <alignment horizontal="center"/>
    </xf>
    <xf numFmtId="165" fontId="57" fillId="21" borderId="9" xfId="0" applyNumberFormat="1" applyFont="1" applyFill="1" applyBorder="1" applyAlignment="1">
      <alignment horizontal="center"/>
    </xf>
    <xf numFmtId="9" fontId="58" fillId="21" borderId="2" xfId="0" applyNumberFormat="1" applyFont="1" applyFill="1" applyBorder="1" applyAlignment="1">
      <alignment horizontal="center"/>
    </xf>
    <xf numFmtId="165" fontId="54" fillId="21" borderId="24" xfId="0" applyNumberFormat="1" applyFont="1" applyFill="1" applyBorder="1" applyAlignment="1">
      <alignment horizontal="center"/>
    </xf>
    <xf numFmtId="9" fontId="55" fillId="21" borderId="13" xfId="0" applyNumberFormat="1" applyFont="1" applyFill="1" applyBorder="1" applyAlignment="1">
      <alignment horizontal="center"/>
    </xf>
    <xf numFmtId="165" fontId="60" fillId="21" borderId="23" xfId="0" applyNumberFormat="1" applyFont="1" applyFill="1" applyBorder="1" applyAlignment="1">
      <alignment horizontal="center"/>
    </xf>
    <xf numFmtId="9" fontId="62" fillId="21" borderId="16" xfId="0" applyNumberFormat="1" applyFont="1" applyFill="1" applyBorder="1" applyAlignment="1">
      <alignment horizontal="center"/>
    </xf>
    <xf numFmtId="0" fontId="50" fillId="21" borderId="9" xfId="0" applyFont="1" applyFill="1" applyBorder="1" applyAlignment="1">
      <alignment horizontal="center" wrapText="1"/>
    </xf>
    <xf numFmtId="1" fontId="56" fillId="21" borderId="2" xfId="0" applyNumberFormat="1" applyFont="1" applyFill="1" applyBorder="1" applyAlignment="1">
      <alignment horizontal="center" wrapText="1"/>
    </xf>
    <xf numFmtId="165" fontId="63" fillId="21" borderId="9" xfId="0" applyNumberFormat="1" applyFont="1" applyFill="1" applyBorder="1" applyAlignment="1">
      <alignment horizontal="center"/>
    </xf>
    <xf numFmtId="9" fontId="64" fillId="21" borderId="2" xfId="0" applyNumberFormat="1" applyFont="1" applyFill="1" applyBorder="1" applyAlignment="1">
      <alignment horizontal="center"/>
    </xf>
    <xf numFmtId="164" fontId="54" fillId="21" borderId="15" xfId="0" applyNumberFormat="1" applyFont="1" applyFill="1" applyBorder="1" applyAlignment="1">
      <alignment horizontal="center"/>
    </xf>
    <xf numFmtId="164" fontId="63" fillId="21" borderId="23" xfId="0" applyNumberFormat="1" applyFont="1" applyFill="1" applyBorder="1" applyAlignment="1">
      <alignment horizontal="center" vertical="center"/>
    </xf>
    <xf numFmtId="0" fontId="27" fillId="12" borderId="2" xfId="0" applyFont="1" applyFill="1" applyBorder="1" applyAlignment="1">
      <alignment horizontal="left" wrapText="1"/>
    </xf>
    <xf numFmtId="0" fontId="24" fillId="0" borderId="58" xfId="0" applyFont="1" applyBorder="1" applyAlignment="1">
      <alignment horizontal="center" vertical="top"/>
    </xf>
    <xf numFmtId="0" fontId="24" fillId="0" borderId="0" xfId="0" applyFont="1" applyAlignment="1">
      <alignment horizontal="center" vertical="top"/>
    </xf>
    <xf numFmtId="0" fontId="15" fillId="14" borderId="0" xfId="0" applyFont="1" applyFill="1" applyAlignment="1">
      <alignment horizontal="left" wrapText="1"/>
    </xf>
    <xf numFmtId="0" fontId="8" fillId="21" borderId="0" xfId="0" applyFont="1" applyFill="1" applyAlignment="1">
      <alignment horizontal="left" wrapText="1"/>
    </xf>
    <xf numFmtId="0" fontId="10" fillId="12" borderId="9" xfId="0" applyFont="1" applyFill="1" applyBorder="1" applyAlignment="1">
      <alignment horizontal="left" wrapText="1"/>
    </xf>
    <xf numFmtId="4" fontId="4" fillId="15" borderId="5" xfId="0" applyNumberFormat="1" applyFont="1" applyFill="1" applyBorder="1" applyAlignment="1">
      <alignment horizontal="center" wrapText="1"/>
    </xf>
    <xf numFmtId="0" fontId="4" fillId="0" borderId="41" xfId="0" applyFont="1" applyBorder="1" applyAlignment="1">
      <alignment horizontal="left" wrapText="1"/>
    </xf>
    <xf numFmtId="8" fontId="4" fillId="3" borderId="56" xfId="0" applyNumberFormat="1" applyFont="1" applyFill="1" applyBorder="1" applyAlignment="1">
      <alignment horizontal="center"/>
    </xf>
    <xf numFmtId="8" fontId="4" fillId="3" borderId="3" xfId="0" applyNumberFormat="1" applyFont="1" applyFill="1" applyBorder="1" applyAlignment="1">
      <alignment horizontal="center"/>
    </xf>
    <xf numFmtId="8" fontId="4" fillId="6" borderId="3" xfId="0" applyNumberFormat="1" applyFont="1" applyFill="1" applyBorder="1" applyAlignment="1">
      <alignment horizontal="center"/>
    </xf>
    <xf numFmtId="8" fontId="21" fillId="3" borderId="3" xfId="0" applyNumberFormat="1" applyFont="1" applyFill="1" applyBorder="1" applyAlignment="1">
      <alignment horizontal="center"/>
    </xf>
    <xf numFmtId="8" fontId="10" fillId="3" borderId="2" xfId="0" applyNumberFormat="1" applyFont="1" applyFill="1" applyBorder="1" applyAlignment="1">
      <alignment horizontal="center"/>
    </xf>
    <xf numFmtId="8" fontId="4" fillId="7" borderId="3" xfId="0" applyNumberFormat="1" applyFont="1" applyFill="1" applyBorder="1" applyAlignment="1">
      <alignment horizontal="center"/>
    </xf>
    <xf numFmtId="8" fontId="4" fillId="7" borderId="12" xfId="0" applyNumberFormat="1" applyFont="1" applyFill="1" applyBorder="1" applyAlignment="1">
      <alignment horizontal="center"/>
    </xf>
    <xf numFmtId="164" fontId="54" fillId="19" borderId="25" xfId="0" applyNumberFormat="1" applyFont="1" applyFill="1" applyBorder="1" applyAlignment="1">
      <alignment horizontal="center" vertical="center"/>
    </xf>
    <xf numFmtId="0" fontId="43" fillId="12" borderId="2" xfId="0" applyFont="1" applyFill="1" applyBorder="1" applyAlignment="1">
      <alignment horizontal="left" wrapText="1"/>
    </xf>
    <xf numFmtId="4" fontId="4" fillId="15" borderId="5" xfId="0" applyNumberFormat="1" applyFont="1" applyFill="1" applyBorder="1" applyAlignment="1">
      <alignment horizontal="center" vertical="center" wrapText="1"/>
    </xf>
    <xf numFmtId="4" fontId="10" fillId="18" borderId="2" xfId="0" applyNumberFormat="1" applyFont="1" applyFill="1" applyBorder="1" applyAlignment="1">
      <alignment horizontal="center"/>
    </xf>
    <xf numFmtId="4" fontId="10" fillId="18" borderId="5" xfId="0" applyNumberFormat="1" applyFont="1" applyFill="1" applyBorder="1" applyAlignment="1">
      <alignment horizontal="center"/>
    </xf>
    <xf numFmtId="0" fontId="10" fillId="0" borderId="29" xfId="0" applyFont="1" applyBorder="1" applyAlignment="1">
      <alignment horizontal="center" wrapText="1"/>
    </xf>
    <xf numFmtId="4" fontId="10" fillId="12" borderId="4" xfId="0" applyNumberFormat="1" applyFont="1" applyFill="1" applyBorder="1" applyAlignment="1">
      <alignment horizontal="center"/>
    </xf>
    <xf numFmtId="4" fontId="10" fillId="12" borderId="16" xfId="0" applyNumberFormat="1" applyFont="1" applyFill="1" applyBorder="1" applyAlignment="1">
      <alignment horizontal="center"/>
    </xf>
    <xf numFmtId="0" fontId="10" fillId="0" borderId="8" xfId="0" applyFont="1" applyBorder="1" applyAlignment="1">
      <alignment horizontal="center"/>
    </xf>
    <xf numFmtId="0" fontId="10" fillId="0" borderId="8" xfId="0" applyFont="1" applyBorder="1" applyAlignment="1">
      <alignment horizontal="left" wrapText="1"/>
    </xf>
    <xf numFmtId="8" fontId="10" fillId="9" borderId="2" xfId="0" applyNumberFormat="1" applyFont="1" applyFill="1" applyBorder="1" applyAlignment="1">
      <alignment horizontal="center"/>
    </xf>
    <xf numFmtId="4" fontId="7" fillId="0" borderId="4" xfId="0" applyNumberFormat="1" applyFont="1" applyBorder="1" applyAlignment="1">
      <alignment horizontal="center" wrapText="1"/>
    </xf>
    <xf numFmtId="8" fontId="21" fillId="6" borderId="2" xfId="0" applyNumberFormat="1" applyFont="1" applyFill="1" applyBorder="1" applyAlignment="1">
      <alignment horizontal="center"/>
    </xf>
    <xf numFmtId="8" fontId="21" fillId="5" borderId="2" xfId="0" applyNumberFormat="1" applyFont="1" applyFill="1" applyBorder="1" applyAlignment="1">
      <alignment horizontal="center"/>
    </xf>
    <xf numFmtId="165" fontId="54" fillId="15" borderId="12" xfId="0" applyNumberFormat="1" applyFont="1" applyFill="1" applyBorder="1" applyAlignment="1">
      <alignment horizontal="center"/>
    </xf>
    <xf numFmtId="8" fontId="10" fillId="9" borderId="69" xfId="0" applyNumberFormat="1" applyFont="1" applyFill="1" applyBorder="1" applyAlignment="1">
      <alignment horizontal="center"/>
    </xf>
    <xf numFmtId="8" fontId="10" fillId="9" borderId="70" xfId="0" applyNumberFormat="1" applyFont="1" applyFill="1" applyBorder="1" applyAlignment="1">
      <alignment horizontal="center"/>
    </xf>
    <xf numFmtId="8" fontId="10" fillId="9" borderId="71" xfId="0" applyNumberFormat="1" applyFont="1" applyFill="1" applyBorder="1" applyAlignment="1">
      <alignment horizontal="center"/>
    </xf>
    <xf numFmtId="8" fontId="10" fillId="9" borderId="50" xfId="0" applyNumberFormat="1" applyFont="1" applyFill="1" applyBorder="1" applyAlignment="1">
      <alignment horizontal="center"/>
    </xf>
    <xf numFmtId="8" fontId="10" fillId="9" borderId="6" xfId="0" applyNumberFormat="1" applyFont="1" applyFill="1" applyBorder="1" applyAlignment="1">
      <alignment horizontal="center"/>
    </xf>
    <xf numFmtId="8" fontId="10" fillId="9" borderId="22" xfId="0" applyNumberFormat="1" applyFont="1" applyFill="1" applyBorder="1" applyAlignment="1">
      <alignment horizontal="center"/>
    </xf>
    <xf numFmtId="8" fontId="10" fillId="9" borderId="4" xfId="0" applyNumberFormat="1" applyFont="1" applyFill="1" applyBorder="1" applyAlignment="1">
      <alignment horizontal="center"/>
    </xf>
    <xf numFmtId="4" fontId="4" fillId="9" borderId="14" xfId="0" applyNumberFormat="1" applyFont="1" applyFill="1" applyBorder="1" applyAlignment="1">
      <alignment horizontal="center"/>
    </xf>
    <xf numFmtId="8" fontId="10" fillId="9" borderId="20" xfId="0" applyNumberFormat="1" applyFont="1" applyFill="1" applyBorder="1" applyAlignment="1">
      <alignment horizontal="center"/>
    </xf>
    <xf numFmtId="10" fontId="54" fillId="11" borderId="20" xfId="0" applyNumberFormat="1" applyFont="1" applyFill="1" applyBorder="1" applyAlignment="1">
      <alignment horizontal="center" vertical="center"/>
    </xf>
    <xf numFmtId="0" fontId="4" fillId="0" borderId="0" xfId="0" applyFont="1" applyAlignment="1">
      <alignment horizontal="left" vertical="center" wrapText="1"/>
    </xf>
    <xf numFmtId="0" fontId="2" fillId="0" borderId="0" xfId="0" applyFont="1" applyAlignment="1">
      <alignment horizontal="left" vertical="center"/>
    </xf>
    <xf numFmtId="0" fontId="10" fillId="12" borderId="30" xfId="0" applyFont="1" applyFill="1" applyBorder="1" applyAlignment="1">
      <alignment horizontal="center" wrapText="1"/>
    </xf>
    <xf numFmtId="0" fontId="10" fillId="12" borderId="22" xfId="0" applyFont="1" applyFill="1" applyBorder="1" applyAlignment="1">
      <alignment horizontal="left" wrapText="1"/>
    </xf>
    <xf numFmtId="164" fontId="4" fillId="6" borderId="79" xfId="0" applyNumberFormat="1" applyFont="1" applyFill="1" applyBorder="1" applyAlignment="1">
      <alignment horizontal="center"/>
    </xf>
    <xf numFmtId="0" fontId="10" fillId="23" borderId="2" xfId="0" applyFont="1" applyFill="1" applyBorder="1" applyAlignment="1">
      <alignment horizontal="center"/>
    </xf>
    <xf numFmtId="0" fontId="10" fillId="23" borderId="2" xfId="0" applyFont="1" applyFill="1" applyBorder="1" applyAlignment="1">
      <alignment horizontal="left" wrapText="1"/>
    </xf>
    <xf numFmtId="4" fontId="10" fillId="23" borderId="5" xfId="0" applyNumberFormat="1" applyFont="1" applyFill="1" applyBorder="1" applyAlignment="1">
      <alignment horizontal="center"/>
    </xf>
    <xf numFmtId="10" fontId="16" fillId="23" borderId="5" xfId="0" applyNumberFormat="1" applyFont="1" applyFill="1" applyBorder="1" applyAlignment="1">
      <alignment horizontal="center"/>
    </xf>
    <xf numFmtId="8" fontId="10" fillId="23" borderId="2" xfId="0" applyNumberFormat="1" applyFont="1" applyFill="1" applyBorder="1" applyAlignment="1">
      <alignment horizontal="center"/>
    </xf>
    <xf numFmtId="4" fontId="4" fillId="23" borderId="5" xfId="0" applyNumberFormat="1" applyFont="1" applyFill="1" applyBorder="1" applyAlignment="1">
      <alignment horizontal="center"/>
    </xf>
    <xf numFmtId="4" fontId="10" fillId="23" borderId="2" xfId="0" applyNumberFormat="1" applyFont="1" applyFill="1" applyBorder="1" applyAlignment="1">
      <alignment horizontal="center"/>
    </xf>
    <xf numFmtId="8" fontId="10" fillId="23" borderId="22" xfId="0" applyNumberFormat="1" applyFont="1" applyFill="1" applyBorder="1" applyAlignment="1">
      <alignment horizontal="center"/>
    </xf>
    <xf numFmtId="8" fontId="10" fillId="23" borderId="6" xfId="0" applyNumberFormat="1" applyFont="1" applyFill="1" applyBorder="1" applyAlignment="1">
      <alignment horizontal="center"/>
    </xf>
    <xf numFmtId="44" fontId="10" fillId="23" borderId="5" xfId="0" applyNumberFormat="1" applyFont="1" applyFill="1" applyBorder="1" applyAlignment="1">
      <alignment horizontal="center"/>
    </xf>
    <xf numFmtId="0" fontId="4" fillId="23" borderId="2" xfId="0" applyFont="1" applyFill="1" applyBorder="1" applyAlignment="1">
      <alignment horizontal="left" wrapText="1"/>
    </xf>
    <xf numFmtId="0" fontId="10" fillId="23" borderId="9" xfId="0" applyFont="1" applyFill="1" applyBorder="1" applyAlignment="1">
      <alignment horizontal="left" wrapText="1"/>
    </xf>
    <xf numFmtId="0" fontId="4" fillId="0" borderId="38" xfId="0" applyFont="1" applyBorder="1" applyAlignment="1">
      <alignment horizontal="left" wrapText="1"/>
    </xf>
    <xf numFmtId="0" fontId="10" fillId="0" borderId="30" xfId="0" applyFont="1" applyBorder="1" applyAlignment="1">
      <alignment horizontal="center" wrapText="1"/>
    </xf>
    <xf numFmtId="8" fontId="10" fillId="10" borderId="6" xfId="0" applyNumberFormat="1" applyFont="1" applyFill="1" applyBorder="1" applyAlignment="1">
      <alignment horizontal="center"/>
    </xf>
    <xf numFmtId="4" fontId="1" fillId="0" borderId="1" xfId="0" applyNumberFormat="1" applyFont="1" applyBorder="1" applyAlignment="1">
      <alignment horizontal="center"/>
    </xf>
    <xf numFmtId="4" fontId="43" fillId="9" borderId="2" xfId="0" applyNumberFormat="1" applyFont="1" applyFill="1" applyBorder="1" applyAlignment="1">
      <alignment horizontal="center"/>
    </xf>
    <xf numFmtId="4" fontId="1" fillId="0" borderId="1" xfId="0" applyNumberFormat="1" applyFont="1" applyBorder="1"/>
    <xf numFmtId="4" fontId="1" fillId="9" borderId="5" xfId="0" applyNumberFormat="1" applyFont="1" applyFill="1" applyBorder="1" applyAlignment="1">
      <alignment horizontal="center"/>
    </xf>
    <xf numFmtId="4" fontId="44" fillId="23" borderId="5" xfId="0" applyNumberFormat="1" applyFont="1" applyFill="1" applyBorder="1" applyAlignment="1">
      <alignment horizontal="center"/>
    </xf>
    <xf numFmtId="4" fontId="10" fillId="9" borderId="58" xfId="0" applyNumberFormat="1" applyFont="1" applyFill="1" applyBorder="1" applyAlignment="1">
      <alignment horizontal="center"/>
    </xf>
    <xf numFmtId="4" fontId="10" fillId="10" borderId="7" xfId="0" applyNumberFormat="1" applyFont="1" applyFill="1" applyBorder="1" applyAlignment="1">
      <alignment horizontal="center"/>
    </xf>
    <xf numFmtId="4" fontId="10" fillId="23" borderId="61" xfId="0" applyNumberFormat="1" applyFont="1" applyFill="1" applyBorder="1" applyAlignment="1">
      <alignment horizontal="center"/>
    </xf>
    <xf numFmtId="4" fontId="44" fillId="9" borderId="5" xfId="0" applyNumberFormat="1" applyFont="1" applyFill="1" applyBorder="1" applyAlignment="1">
      <alignment horizontal="center"/>
    </xf>
    <xf numFmtId="4" fontId="1" fillId="0" borderId="0" xfId="0" applyNumberFormat="1" applyFont="1"/>
    <xf numFmtId="165" fontId="51" fillId="16" borderId="16" xfId="0" applyNumberFormat="1" applyFont="1" applyFill="1" applyBorder="1" applyAlignment="1">
      <alignment horizontal="center"/>
    </xf>
    <xf numFmtId="9" fontId="50" fillId="16" borderId="16" xfId="0" applyNumberFormat="1" applyFont="1" applyFill="1" applyBorder="1" applyAlignment="1">
      <alignment horizontal="center"/>
    </xf>
    <xf numFmtId="165" fontId="51" fillId="16" borderId="6" xfId="0" applyNumberFormat="1" applyFont="1" applyFill="1" applyBorder="1" applyAlignment="1">
      <alignment horizontal="center"/>
    </xf>
    <xf numFmtId="9" fontId="52" fillId="16" borderId="16" xfId="0" applyNumberFormat="1" applyFont="1" applyFill="1" applyBorder="1" applyAlignment="1">
      <alignment horizontal="center"/>
    </xf>
    <xf numFmtId="165" fontId="57" fillId="16" borderId="2" xfId="0" applyNumberFormat="1" applyFont="1" applyFill="1" applyBorder="1" applyAlignment="1">
      <alignment horizontal="center"/>
    </xf>
    <xf numFmtId="9" fontId="58" fillId="16" borderId="2" xfId="0" applyNumberFormat="1" applyFont="1" applyFill="1" applyBorder="1" applyAlignment="1">
      <alignment horizontal="center"/>
    </xf>
    <xf numFmtId="165" fontId="54" fillId="16" borderId="12" xfId="0" applyNumberFormat="1" applyFont="1" applyFill="1" applyBorder="1" applyAlignment="1">
      <alignment horizontal="center"/>
    </xf>
    <xf numFmtId="9" fontId="55" fillId="16" borderId="12" xfId="0" applyNumberFormat="1" applyFont="1" applyFill="1" applyBorder="1" applyAlignment="1">
      <alignment horizontal="center"/>
    </xf>
    <xf numFmtId="165" fontId="60" fillId="16" borderId="16" xfId="0" applyNumberFormat="1" applyFont="1" applyFill="1" applyBorder="1" applyAlignment="1">
      <alignment horizontal="center"/>
    </xf>
    <xf numFmtId="9" fontId="62" fillId="16" borderId="16" xfId="0" applyNumberFormat="1" applyFont="1" applyFill="1" applyBorder="1" applyAlignment="1">
      <alignment horizontal="center"/>
    </xf>
    <xf numFmtId="0" fontId="50" fillId="16" borderId="2" xfId="0" applyFont="1" applyFill="1" applyBorder="1" applyAlignment="1">
      <alignment horizontal="center" wrapText="1"/>
    </xf>
    <xf numFmtId="1" fontId="56" fillId="16" borderId="2" xfId="0" applyNumberFormat="1" applyFont="1" applyFill="1" applyBorder="1" applyAlignment="1">
      <alignment horizontal="center" wrapText="1"/>
    </xf>
    <xf numFmtId="165" fontId="63" fillId="16" borderId="2" xfId="0" applyNumberFormat="1" applyFont="1" applyFill="1" applyBorder="1" applyAlignment="1">
      <alignment horizontal="center"/>
    </xf>
    <xf numFmtId="9" fontId="64" fillId="16" borderId="2" xfId="0" applyNumberFormat="1" applyFont="1" applyFill="1" applyBorder="1" applyAlignment="1">
      <alignment horizontal="center"/>
    </xf>
    <xf numFmtId="1" fontId="46" fillId="2" borderId="23" xfId="0" applyNumberFormat="1" applyFont="1" applyFill="1" applyBorder="1" applyAlignment="1">
      <alignment horizontal="center"/>
    </xf>
    <xf numFmtId="4" fontId="63" fillId="2" borderId="23" xfId="0" applyNumberFormat="1" applyFont="1" applyFill="1" applyBorder="1" applyAlignment="1">
      <alignment horizontal="center"/>
    </xf>
    <xf numFmtId="164" fontId="54" fillId="16" borderId="6" xfId="0" applyNumberFormat="1" applyFont="1" applyFill="1" applyBorder="1" applyAlignment="1">
      <alignment horizontal="center"/>
    </xf>
    <xf numFmtId="164" fontId="66" fillId="2" borderId="16" xfId="0" applyNumberFormat="1" applyFont="1" applyFill="1" applyBorder="1" applyAlignment="1">
      <alignment horizontal="center"/>
    </xf>
    <xf numFmtId="2" fontId="63" fillId="2" borderId="22" xfId="0" applyNumberFormat="1" applyFont="1" applyFill="1" applyBorder="1" applyAlignment="1">
      <alignment horizontal="center" vertical="center"/>
    </xf>
    <xf numFmtId="10" fontId="50" fillId="2" borderId="6" xfId="0" applyNumberFormat="1" applyFont="1" applyFill="1" applyBorder="1" applyAlignment="1">
      <alignment horizontal="center"/>
    </xf>
    <xf numFmtId="164" fontId="63" fillId="16" borderId="16" xfId="0" applyNumberFormat="1" applyFont="1" applyFill="1" applyBorder="1" applyAlignment="1">
      <alignment horizontal="center" vertical="center"/>
    </xf>
    <xf numFmtId="9" fontId="63" fillId="0" borderId="16" xfId="0" applyNumberFormat="1" applyFont="1" applyBorder="1" applyAlignment="1">
      <alignment horizontal="center" vertical="center"/>
    </xf>
    <xf numFmtId="1" fontId="63" fillId="0" borderId="24" xfId="0" applyNumberFormat="1" applyFont="1" applyBorder="1" applyAlignment="1">
      <alignment horizontal="center" vertical="center"/>
    </xf>
    <xf numFmtId="0" fontId="74" fillId="0" borderId="59" xfId="0" applyFont="1" applyBorder="1" applyAlignment="1">
      <alignment wrapText="1"/>
    </xf>
    <xf numFmtId="0" fontId="78" fillId="0" borderId="32" xfId="0" applyFont="1" applyBorder="1" applyAlignment="1">
      <alignment horizontal="center" vertical="center" textRotation="90" wrapText="1"/>
    </xf>
    <xf numFmtId="0" fontId="74" fillId="0" borderId="0" xfId="0" applyFont="1" applyAlignment="1">
      <alignment wrapText="1"/>
    </xf>
    <xf numFmtId="0" fontId="2" fillId="0" borderId="10" xfId="0" applyFont="1" applyBorder="1" applyAlignment="1">
      <alignment horizontal="left" vertical="center"/>
    </xf>
    <xf numFmtId="0" fontId="4" fillId="22" borderId="10" xfId="0" applyFont="1" applyFill="1" applyBorder="1" applyAlignment="1">
      <alignment horizontal="left" vertical="center" wrapText="1"/>
    </xf>
    <xf numFmtId="0" fontId="10" fillId="0" borderId="0" xfId="0" applyFont="1" applyAlignment="1">
      <alignment wrapText="1"/>
    </xf>
    <xf numFmtId="0" fontId="10" fillId="0" borderId="0" xfId="0" applyFont="1" applyAlignment="1">
      <alignment horizontal="left" vertical="center" wrapText="1"/>
    </xf>
    <xf numFmtId="0" fontId="4" fillId="0" borderId="0" xfId="0" applyFont="1" applyAlignment="1">
      <alignment horizontal="left" vertical="center"/>
    </xf>
    <xf numFmtId="0" fontId="4" fillId="0" borderId="10" xfId="0" applyFont="1" applyBorder="1" applyAlignment="1">
      <alignment horizontal="left" vertical="center"/>
    </xf>
    <xf numFmtId="0" fontId="4" fillId="2" borderId="0" xfId="0" applyFont="1" applyFill="1" applyAlignment="1">
      <alignment horizontal="left"/>
    </xf>
    <xf numFmtId="0" fontId="2" fillId="2" borderId="0" xfId="0" applyFont="1" applyFill="1"/>
    <xf numFmtId="0" fontId="10" fillId="2" borderId="0" xfId="0" applyFont="1" applyFill="1" applyAlignment="1">
      <alignment horizontal="left" vertical="center"/>
    </xf>
    <xf numFmtId="0" fontId="0" fillId="2" borderId="0" xfId="0" applyFill="1" applyAlignment="1">
      <alignment vertical="center"/>
    </xf>
    <xf numFmtId="164" fontId="55" fillId="5" borderId="20" xfId="0" applyNumberFormat="1" applyFont="1" applyFill="1" applyBorder="1" applyAlignment="1">
      <alignment horizontal="center" vertical="center"/>
    </xf>
    <xf numFmtId="0" fontId="0" fillId="0" borderId="0" xfId="0" applyAlignment="1">
      <alignment horizontal="center" vertical="center"/>
    </xf>
    <xf numFmtId="4" fontId="10" fillId="9" borderId="61" xfId="0" applyNumberFormat="1" applyFont="1" applyFill="1" applyBorder="1" applyAlignment="1">
      <alignment horizontal="center"/>
    </xf>
    <xf numFmtId="0" fontId="75" fillId="0" borderId="0" xfId="0" applyFont="1" applyAlignment="1">
      <alignment horizontal="left"/>
    </xf>
    <xf numFmtId="0" fontId="1" fillId="12" borderId="37" xfId="0" applyFont="1" applyFill="1" applyBorder="1" applyAlignment="1">
      <alignment horizontal="center" vertical="center" wrapText="1"/>
    </xf>
    <xf numFmtId="1" fontId="30" fillId="0" borderId="0" xfId="0" applyNumberFormat="1" applyFont="1"/>
    <xf numFmtId="0" fontId="1" fillId="0" borderId="1" xfId="0" applyFont="1" applyBorder="1"/>
    <xf numFmtId="10" fontId="54" fillId="19" borderId="58" xfId="0" applyNumberFormat="1" applyFont="1" applyFill="1" applyBorder="1" applyAlignment="1">
      <alignment horizontal="center" vertical="center"/>
    </xf>
    <xf numFmtId="164" fontId="54" fillId="19" borderId="62" xfId="0" applyNumberFormat="1" applyFont="1" applyFill="1" applyBorder="1" applyAlignment="1">
      <alignment horizontal="center"/>
    </xf>
    <xf numFmtId="1" fontId="54" fillId="19" borderId="26" xfId="0" applyNumberFormat="1" applyFont="1" applyFill="1" applyBorder="1" applyAlignment="1">
      <alignment horizontal="center" vertical="center"/>
    </xf>
    <xf numFmtId="164" fontId="55" fillId="19" borderId="15" xfId="0" applyNumberFormat="1" applyFont="1" applyFill="1" applyBorder="1" applyAlignment="1">
      <alignment horizontal="center"/>
    </xf>
    <xf numFmtId="165" fontId="54" fillId="25" borderId="12" xfId="0" applyNumberFormat="1" applyFont="1" applyFill="1" applyBorder="1" applyAlignment="1">
      <alignment horizontal="center"/>
    </xf>
    <xf numFmtId="165" fontId="53" fillId="16" borderId="12" xfId="0" applyNumberFormat="1" applyFont="1" applyFill="1" applyBorder="1" applyAlignment="1">
      <alignment horizontal="center"/>
    </xf>
    <xf numFmtId="9" fontId="55" fillId="17" borderId="12" xfId="0" applyNumberFormat="1" applyFont="1" applyFill="1" applyBorder="1" applyAlignment="1">
      <alignment horizontal="center"/>
    </xf>
    <xf numFmtId="9" fontId="55" fillId="9" borderId="12" xfId="0" applyNumberFormat="1" applyFont="1" applyFill="1" applyBorder="1" applyAlignment="1">
      <alignment horizontal="center"/>
    </xf>
    <xf numFmtId="9" fontId="55" fillId="15" borderId="12" xfId="0" applyNumberFormat="1" applyFont="1" applyFill="1" applyBorder="1" applyAlignment="1">
      <alignment horizontal="center"/>
    </xf>
    <xf numFmtId="9" fontId="54" fillId="16" borderId="12" xfId="0" applyNumberFormat="1" applyFont="1" applyFill="1" applyBorder="1" applyAlignment="1">
      <alignment horizontal="center"/>
    </xf>
    <xf numFmtId="165" fontId="54" fillId="21" borderId="12" xfId="0" applyNumberFormat="1" applyFont="1" applyFill="1" applyBorder="1" applyAlignment="1">
      <alignment horizontal="center"/>
    </xf>
    <xf numFmtId="9" fontId="54" fillId="21" borderId="12" xfId="0" applyNumberFormat="1" applyFont="1" applyFill="1" applyBorder="1" applyAlignment="1">
      <alignment horizontal="center"/>
    </xf>
    <xf numFmtId="9" fontId="55" fillId="21" borderId="12" xfId="0" applyNumberFormat="1" applyFont="1" applyFill="1" applyBorder="1" applyAlignment="1">
      <alignment horizontal="center"/>
    </xf>
    <xf numFmtId="0" fontId="46" fillId="12" borderId="0" xfId="0" applyFont="1" applyFill="1"/>
    <xf numFmtId="0" fontId="46" fillId="12" borderId="68" xfId="0" applyFont="1" applyFill="1" applyBorder="1"/>
    <xf numFmtId="1" fontId="46" fillId="12" borderId="68" xfId="0" applyNumberFormat="1" applyFont="1" applyFill="1" applyBorder="1"/>
    <xf numFmtId="0" fontId="46" fillId="2" borderId="58" xfId="0" applyFont="1" applyFill="1" applyBorder="1" applyAlignment="1">
      <alignment horizontal="center" wrapText="1"/>
    </xf>
    <xf numFmtId="1" fontId="56" fillId="2" borderId="68" xfId="0" applyNumberFormat="1" applyFont="1" applyFill="1" applyBorder="1" applyAlignment="1">
      <alignment horizontal="center" wrapText="1"/>
    </xf>
    <xf numFmtId="0" fontId="46" fillId="2" borderId="68" xfId="0" applyFont="1" applyFill="1" applyBorder="1" applyAlignment="1">
      <alignment horizontal="center" wrapText="1"/>
    </xf>
    <xf numFmtId="164" fontId="54" fillId="10" borderId="4" xfId="0" applyNumberFormat="1" applyFont="1" applyFill="1" applyBorder="1" applyAlignment="1">
      <alignment horizontal="center"/>
    </xf>
    <xf numFmtId="0" fontId="46" fillId="2" borderId="37" xfId="0" applyFont="1" applyFill="1" applyBorder="1" applyAlignment="1">
      <alignment horizontal="center" wrapText="1"/>
    </xf>
    <xf numFmtId="10" fontId="82" fillId="2" borderId="7" xfId="0" applyNumberFormat="1" applyFont="1" applyFill="1" applyBorder="1" applyAlignment="1">
      <alignment horizontal="center" vertical="center" wrapText="1"/>
    </xf>
    <xf numFmtId="0" fontId="21" fillId="0" borderId="2" xfId="0" applyFont="1" applyBorder="1"/>
    <xf numFmtId="0" fontId="2" fillId="0" borderId="11" xfId="0" applyFont="1" applyBorder="1"/>
    <xf numFmtId="4" fontId="19" fillId="7" borderId="5" xfId="0" applyNumberFormat="1" applyFont="1" applyFill="1" applyBorder="1" applyAlignment="1">
      <alignment horizontal="center" wrapText="1"/>
    </xf>
    <xf numFmtId="164" fontId="54" fillId="10" borderId="58" xfId="0" applyNumberFormat="1" applyFont="1" applyFill="1" applyBorder="1" applyAlignment="1">
      <alignment horizontal="center"/>
    </xf>
    <xf numFmtId="164" fontId="54" fillId="10" borderId="20" xfId="0" applyNumberFormat="1" applyFont="1" applyFill="1" applyBorder="1" applyAlignment="1">
      <alignment horizontal="center"/>
    </xf>
    <xf numFmtId="164" fontId="63" fillId="25" borderId="16" xfId="0" applyNumberFormat="1" applyFont="1" applyFill="1" applyBorder="1" applyAlignment="1">
      <alignment horizontal="center" vertical="center"/>
    </xf>
    <xf numFmtId="164" fontId="54" fillId="10" borderId="25" xfId="0" applyNumberFormat="1" applyFont="1" applyFill="1" applyBorder="1" applyAlignment="1">
      <alignment horizontal="center"/>
    </xf>
    <xf numFmtId="4" fontId="81" fillId="9" borderId="5" xfId="0" applyNumberFormat="1" applyFont="1" applyFill="1" applyBorder="1" applyAlignment="1">
      <alignment horizontal="center"/>
    </xf>
    <xf numFmtId="0" fontId="0" fillId="0" borderId="0" xfId="0" applyAlignment="1">
      <alignment vertical="center"/>
    </xf>
    <xf numFmtId="8" fontId="0" fillId="0" borderId="0" xfId="0" applyNumberFormat="1" applyAlignment="1">
      <alignment horizontal="left"/>
    </xf>
    <xf numFmtId="165" fontId="4" fillId="27" borderId="16" xfId="0" applyNumberFormat="1" applyFont="1" applyFill="1" applyBorder="1" applyAlignment="1">
      <alignment horizontal="center"/>
    </xf>
    <xf numFmtId="9" fontId="50" fillId="27" borderId="10" xfId="0" applyNumberFormat="1" applyFont="1" applyFill="1" applyBorder="1" applyAlignment="1">
      <alignment horizontal="center"/>
    </xf>
    <xf numFmtId="165" fontId="54" fillId="27" borderId="12" xfId="0" applyNumberFormat="1" applyFont="1" applyFill="1" applyBorder="1" applyAlignment="1">
      <alignment horizontal="center"/>
    </xf>
    <xf numFmtId="9" fontId="54" fillId="27" borderId="57" xfId="0" applyNumberFormat="1" applyFont="1" applyFill="1" applyBorder="1" applyAlignment="1">
      <alignment horizontal="center"/>
    </xf>
    <xf numFmtId="165" fontId="51" fillId="27" borderId="15" xfId="0" applyNumberFormat="1" applyFont="1" applyFill="1" applyBorder="1" applyAlignment="1">
      <alignment horizontal="center"/>
    </xf>
    <xf numFmtId="9" fontId="52" fillId="27" borderId="10" xfId="0" applyNumberFormat="1" applyFont="1" applyFill="1" applyBorder="1" applyAlignment="1">
      <alignment horizontal="center"/>
    </xf>
    <xf numFmtId="165" fontId="10" fillId="27" borderId="16" xfId="0" applyNumberFormat="1" applyFont="1" applyFill="1" applyBorder="1" applyAlignment="1">
      <alignment horizontal="center"/>
    </xf>
    <xf numFmtId="165" fontId="57" fillId="27" borderId="2" xfId="0" applyNumberFormat="1" applyFont="1" applyFill="1" applyBorder="1" applyAlignment="1">
      <alignment horizontal="center"/>
    </xf>
    <xf numFmtId="9" fontId="58" fillId="27" borderId="5" xfId="0" applyNumberFormat="1" applyFont="1" applyFill="1" applyBorder="1" applyAlignment="1">
      <alignment horizontal="center"/>
    </xf>
    <xf numFmtId="9" fontId="55" fillId="27" borderId="57" xfId="0" applyNumberFormat="1" applyFont="1" applyFill="1" applyBorder="1" applyAlignment="1">
      <alignment horizontal="center"/>
    </xf>
    <xf numFmtId="165" fontId="60" fillId="27" borderId="16" xfId="0" applyNumberFormat="1" applyFont="1" applyFill="1" applyBorder="1" applyAlignment="1">
      <alignment horizontal="center"/>
    </xf>
    <xf numFmtId="9" fontId="62" fillId="27" borderId="10" xfId="0" applyNumberFormat="1" applyFont="1" applyFill="1" applyBorder="1" applyAlignment="1">
      <alignment horizontal="center"/>
    </xf>
    <xf numFmtId="0" fontId="50" fillId="27" borderId="2" xfId="0" applyFont="1" applyFill="1" applyBorder="1" applyAlignment="1">
      <alignment horizontal="center" wrapText="1"/>
    </xf>
    <xf numFmtId="1" fontId="56" fillId="27" borderId="5" xfId="0" applyNumberFormat="1" applyFont="1" applyFill="1" applyBorder="1" applyAlignment="1">
      <alignment horizontal="center" wrapText="1"/>
    </xf>
    <xf numFmtId="165" fontId="63" fillId="27" borderId="2" xfId="0" applyNumberFormat="1" applyFont="1" applyFill="1" applyBorder="1" applyAlignment="1">
      <alignment horizontal="center"/>
    </xf>
    <xf numFmtId="9" fontId="64" fillId="27" borderId="5" xfId="0" applyNumberFormat="1" applyFont="1" applyFill="1" applyBorder="1" applyAlignment="1">
      <alignment horizontal="center"/>
    </xf>
    <xf numFmtId="165" fontId="51" fillId="26" borderId="23" xfId="0" applyNumberFormat="1" applyFont="1" applyFill="1" applyBorder="1" applyAlignment="1">
      <alignment horizontal="center"/>
    </xf>
    <xf numFmtId="165" fontId="54" fillId="26" borderId="24" xfId="0" applyNumberFormat="1" applyFont="1" applyFill="1" applyBorder="1" applyAlignment="1">
      <alignment horizontal="center"/>
    </xf>
    <xf numFmtId="165" fontId="57" fillId="26" borderId="9" xfId="0" applyNumberFormat="1" applyFont="1" applyFill="1" applyBorder="1" applyAlignment="1">
      <alignment horizontal="center"/>
    </xf>
    <xf numFmtId="165" fontId="10" fillId="26" borderId="23" xfId="0" applyNumberFormat="1" applyFont="1" applyFill="1" applyBorder="1" applyAlignment="1">
      <alignment horizontal="center"/>
    </xf>
    <xf numFmtId="165" fontId="50" fillId="26" borderId="23" xfId="0" applyNumberFormat="1" applyFont="1" applyFill="1" applyBorder="1" applyAlignment="1">
      <alignment horizontal="center"/>
    </xf>
    <xf numFmtId="165" fontId="60" fillId="26" borderId="23" xfId="0" applyNumberFormat="1" applyFont="1" applyFill="1" applyBorder="1" applyAlignment="1">
      <alignment horizontal="center"/>
    </xf>
    <xf numFmtId="165" fontId="63" fillId="26" borderId="9" xfId="0" applyNumberFormat="1" applyFont="1" applyFill="1" applyBorder="1" applyAlignment="1">
      <alignment horizontal="center"/>
    </xf>
    <xf numFmtId="164" fontId="54" fillId="26" borderId="15" xfId="0" applyNumberFormat="1" applyFont="1" applyFill="1" applyBorder="1" applyAlignment="1">
      <alignment horizontal="center"/>
    </xf>
    <xf numFmtId="164" fontId="63" fillId="26" borderId="23" xfId="0" applyNumberFormat="1" applyFont="1" applyFill="1" applyBorder="1" applyAlignment="1">
      <alignment horizontal="center" vertical="center"/>
    </xf>
    <xf numFmtId="164" fontId="63" fillId="27" borderId="16" xfId="0" applyNumberFormat="1" applyFont="1" applyFill="1" applyBorder="1" applyAlignment="1">
      <alignment horizontal="center" vertical="center"/>
    </xf>
    <xf numFmtId="164" fontId="54" fillId="27" borderId="6" xfId="0" applyNumberFormat="1" applyFont="1" applyFill="1" applyBorder="1" applyAlignment="1">
      <alignment horizontal="center"/>
    </xf>
    <xf numFmtId="165" fontId="51" fillId="24" borderId="6" xfId="0" applyNumberFormat="1" applyFont="1" applyFill="1" applyBorder="1" applyAlignment="1">
      <alignment horizontal="center"/>
    </xf>
    <xf numFmtId="9" fontId="52" fillId="24" borderId="7" xfId="0" applyNumberFormat="1" applyFont="1" applyFill="1" applyBorder="1" applyAlignment="1">
      <alignment horizontal="center"/>
    </xf>
    <xf numFmtId="165" fontId="51" fillId="24" borderId="16" xfId="0" applyNumberFormat="1" applyFont="1" applyFill="1" applyBorder="1" applyAlignment="1">
      <alignment horizontal="center"/>
    </xf>
    <xf numFmtId="9" fontId="52" fillId="24" borderId="10" xfId="0" applyNumberFormat="1" applyFont="1" applyFill="1" applyBorder="1" applyAlignment="1">
      <alignment horizontal="center"/>
    </xf>
    <xf numFmtId="165" fontId="57" fillId="24" borderId="2" xfId="0" applyNumberFormat="1" applyFont="1" applyFill="1" applyBorder="1" applyAlignment="1">
      <alignment horizontal="center"/>
    </xf>
    <xf numFmtId="9" fontId="58" fillId="24" borderId="5" xfId="0" applyNumberFormat="1" applyFont="1" applyFill="1" applyBorder="1" applyAlignment="1">
      <alignment horizontal="center"/>
    </xf>
    <xf numFmtId="165" fontId="54" fillId="24" borderId="12" xfId="0" applyNumberFormat="1" applyFont="1" applyFill="1" applyBorder="1" applyAlignment="1">
      <alignment horizontal="center"/>
    </xf>
    <xf numFmtId="9" fontId="55" fillId="24" borderId="57" xfId="0" applyNumberFormat="1" applyFont="1" applyFill="1" applyBorder="1" applyAlignment="1">
      <alignment horizontal="center"/>
    </xf>
    <xf numFmtId="165" fontId="60" fillId="24" borderId="16" xfId="0" applyNumberFormat="1" applyFont="1" applyFill="1" applyBorder="1" applyAlignment="1">
      <alignment horizontal="center"/>
    </xf>
    <xf numFmtId="9" fontId="62" fillId="24" borderId="10" xfId="0" applyNumberFormat="1" applyFont="1" applyFill="1" applyBorder="1" applyAlignment="1">
      <alignment horizontal="center"/>
    </xf>
    <xf numFmtId="0" fontId="8" fillId="24" borderId="2" xfId="0" applyFont="1" applyFill="1" applyBorder="1" applyAlignment="1">
      <alignment horizontal="center" wrapText="1"/>
    </xf>
    <xf numFmtId="1" fontId="56" fillId="24" borderId="5" xfId="0" applyNumberFormat="1" applyFont="1" applyFill="1" applyBorder="1" applyAlignment="1">
      <alignment horizontal="center" wrapText="1"/>
    </xf>
    <xf numFmtId="165" fontId="63" fillId="24" borderId="2" xfId="0" applyNumberFormat="1" applyFont="1" applyFill="1" applyBorder="1" applyAlignment="1">
      <alignment horizontal="center"/>
    </xf>
    <xf numFmtId="9" fontId="64" fillId="24" borderId="5" xfId="0" applyNumberFormat="1" applyFont="1" applyFill="1" applyBorder="1" applyAlignment="1">
      <alignment horizontal="center"/>
    </xf>
    <xf numFmtId="164" fontId="54" fillId="24" borderId="6" xfId="0" applyNumberFormat="1" applyFont="1" applyFill="1" applyBorder="1" applyAlignment="1">
      <alignment horizontal="center"/>
    </xf>
    <xf numFmtId="164" fontId="63" fillId="24" borderId="10" xfId="0" applyNumberFormat="1" applyFont="1" applyFill="1" applyBorder="1" applyAlignment="1">
      <alignment horizontal="center" vertical="center"/>
    </xf>
    <xf numFmtId="9" fontId="50" fillId="24" borderId="10" xfId="0" applyNumberFormat="1" applyFont="1" applyFill="1" applyBorder="1" applyAlignment="1">
      <alignment horizontal="center"/>
    </xf>
    <xf numFmtId="9" fontId="54" fillId="24" borderId="57" xfId="0" applyNumberFormat="1" applyFont="1" applyFill="1" applyBorder="1" applyAlignment="1">
      <alignment horizontal="center"/>
    </xf>
    <xf numFmtId="0" fontId="8" fillId="2" borderId="0" xfId="0" applyFont="1" applyFill="1" applyAlignment="1">
      <alignment vertical="center" wrapText="1"/>
    </xf>
    <xf numFmtId="164" fontId="55" fillId="29" borderId="6" xfId="0" applyNumberFormat="1" applyFont="1" applyFill="1" applyBorder="1" applyAlignment="1">
      <alignment horizontal="center"/>
    </xf>
    <xf numFmtId="164" fontId="54" fillId="29" borderId="22" xfId="0" applyNumberFormat="1" applyFont="1" applyFill="1" applyBorder="1" applyAlignment="1">
      <alignment horizontal="center"/>
    </xf>
    <xf numFmtId="164" fontId="54" fillId="29" borderId="20" xfId="0" applyNumberFormat="1" applyFont="1" applyFill="1" applyBorder="1" applyAlignment="1">
      <alignment horizontal="center" vertical="center"/>
    </xf>
    <xf numFmtId="1" fontId="54" fillId="29" borderId="21" xfId="0" applyNumberFormat="1" applyFont="1" applyFill="1" applyBorder="1" applyAlignment="1">
      <alignment horizontal="center" vertical="center"/>
    </xf>
    <xf numFmtId="10" fontId="54" fillId="29" borderId="58" xfId="0" applyNumberFormat="1" applyFont="1" applyFill="1" applyBorder="1" applyAlignment="1">
      <alignment horizontal="center" vertical="center"/>
    </xf>
    <xf numFmtId="10" fontId="54" fillId="29" borderId="81" xfId="0" applyNumberFormat="1" applyFont="1" applyFill="1" applyBorder="1" applyAlignment="1">
      <alignment horizontal="center" vertical="center"/>
    </xf>
    <xf numFmtId="1" fontId="54" fillId="29" borderId="7" xfId="0" applyNumberFormat="1" applyFont="1" applyFill="1" applyBorder="1" applyAlignment="1">
      <alignment horizontal="center" vertical="center"/>
    </xf>
    <xf numFmtId="0" fontId="54" fillId="0" borderId="0" xfId="0" applyFont="1" applyAlignment="1">
      <alignment wrapText="1"/>
    </xf>
    <xf numFmtId="4" fontId="10" fillId="10" borderId="20" xfId="0" applyNumberFormat="1" applyFont="1" applyFill="1" applyBorder="1" applyAlignment="1">
      <alignment horizontal="center"/>
    </xf>
    <xf numFmtId="10" fontId="16" fillId="10" borderId="20" xfId="0" applyNumberFormat="1" applyFont="1" applyFill="1" applyBorder="1" applyAlignment="1">
      <alignment horizontal="center"/>
    </xf>
    <xf numFmtId="0" fontId="54" fillId="0" borderId="0" xfId="0" applyFont="1" applyAlignment="1">
      <alignment horizontal="left" vertical="center" wrapText="1"/>
    </xf>
    <xf numFmtId="1" fontId="54" fillId="29" borderId="61" xfId="0" applyNumberFormat="1" applyFont="1" applyFill="1" applyBorder="1" applyAlignment="1">
      <alignment horizontal="center" vertical="center"/>
    </xf>
    <xf numFmtId="10" fontId="50" fillId="2" borderId="81" xfId="0" applyNumberFormat="1" applyFont="1" applyFill="1" applyBorder="1" applyAlignment="1">
      <alignment horizontal="center"/>
    </xf>
    <xf numFmtId="1" fontId="46" fillId="0" borderId="10" xfId="0" applyNumberFormat="1" applyFont="1" applyBorder="1"/>
    <xf numFmtId="164" fontId="55" fillId="5" borderId="57" xfId="0" applyNumberFormat="1" applyFont="1" applyFill="1" applyBorder="1" applyAlignment="1">
      <alignment horizontal="center" vertical="center"/>
    </xf>
    <xf numFmtId="9" fontId="8" fillId="0" borderId="12" xfId="0" applyNumberFormat="1" applyFont="1" applyBorder="1" applyAlignment="1">
      <alignment horizontal="center" wrapText="1"/>
    </xf>
    <xf numFmtId="0" fontId="46" fillId="12" borderId="37" xfId="0" applyFont="1" applyFill="1" applyBorder="1"/>
    <xf numFmtId="4" fontId="4" fillId="26" borderId="5" xfId="0" applyNumberFormat="1" applyFont="1" applyFill="1" applyBorder="1" applyAlignment="1">
      <alignment horizontal="center"/>
    </xf>
    <xf numFmtId="4" fontId="4" fillId="10" borderId="20" xfId="0" applyNumberFormat="1" applyFont="1" applyFill="1" applyBorder="1" applyAlignment="1">
      <alignment horizontal="center"/>
    </xf>
    <xf numFmtId="0" fontId="10" fillId="2" borderId="84" xfId="0" applyFont="1" applyFill="1" applyBorder="1" applyAlignment="1">
      <alignment horizontal="center"/>
    </xf>
    <xf numFmtId="4" fontId="10" fillId="23" borderId="6" xfId="0" applyNumberFormat="1" applyFont="1" applyFill="1" applyBorder="1" applyAlignment="1">
      <alignment horizontal="center"/>
    </xf>
    <xf numFmtId="10" fontId="16" fillId="23" borderId="6" xfId="0" applyNumberFormat="1" applyFont="1" applyFill="1" applyBorder="1" applyAlignment="1">
      <alignment horizontal="center"/>
    </xf>
    <xf numFmtId="4" fontId="10" fillId="23" borderId="14" xfId="0" applyNumberFormat="1" applyFont="1" applyFill="1" applyBorder="1" applyAlignment="1">
      <alignment horizontal="center"/>
    </xf>
    <xf numFmtId="10" fontId="16" fillId="23" borderId="14" xfId="0" applyNumberFormat="1" applyFont="1" applyFill="1" applyBorder="1" applyAlignment="1">
      <alignment horizontal="center"/>
    </xf>
    <xf numFmtId="0" fontId="10" fillId="12" borderId="4" xfId="0" applyFont="1" applyFill="1" applyBorder="1" applyAlignment="1">
      <alignment horizontal="center"/>
    </xf>
    <xf numFmtId="0" fontId="10" fillId="12" borderId="4" xfId="0" applyFont="1" applyFill="1" applyBorder="1" applyAlignment="1">
      <alignment horizontal="left" wrapText="1"/>
    </xf>
    <xf numFmtId="0" fontId="4" fillId="0" borderId="0" xfId="0" applyFont="1" applyAlignment="1">
      <alignment horizontal="left" wrapText="1"/>
    </xf>
    <xf numFmtId="0" fontId="93" fillId="0" borderId="0" xfId="0" applyFont="1" applyAlignment="1">
      <alignment horizontal="left"/>
    </xf>
    <xf numFmtId="0" fontId="54" fillId="0" borderId="0" xfId="0" applyFont="1" applyAlignment="1">
      <alignment horizontal="left" wrapText="1"/>
    </xf>
    <xf numFmtId="10" fontId="16" fillId="12" borderId="5" xfId="0" applyNumberFormat="1" applyFont="1" applyFill="1" applyBorder="1" applyAlignment="1">
      <alignment horizontal="center"/>
    </xf>
    <xf numFmtId="0" fontId="19" fillId="0" borderId="0" xfId="0" applyFont="1" applyAlignment="1">
      <alignment horizontal="left" vertical="center"/>
    </xf>
    <xf numFmtId="10" fontId="11" fillId="10" borderId="9" xfId="0" applyNumberFormat="1" applyFont="1" applyFill="1" applyBorder="1" applyAlignment="1">
      <alignment horizontal="center"/>
    </xf>
    <xf numFmtId="4" fontId="43" fillId="10" borderId="2" xfId="0" applyNumberFormat="1" applyFont="1" applyFill="1" applyBorder="1" applyAlignment="1">
      <alignment horizontal="center"/>
    </xf>
    <xf numFmtId="4" fontId="86" fillId="10" borderId="2" xfId="0" applyNumberFormat="1" applyFont="1" applyFill="1" applyBorder="1" applyAlignment="1">
      <alignment horizontal="center"/>
    </xf>
    <xf numFmtId="4" fontId="7" fillId="10" borderId="2" xfId="0" applyNumberFormat="1" applyFont="1" applyFill="1" applyBorder="1" applyAlignment="1">
      <alignment horizontal="center"/>
    </xf>
    <xf numFmtId="0" fontId="54" fillId="12" borderId="10" xfId="0" applyFont="1" applyFill="1" applyBorder="1" applyAlignment="1">
      <alignment horizontal="left" vertical="center" wrapText="1"/>
    </xf>
    <xf numFmtId="0" fontId="49" fillId="12" borderId="10" xfId="0" applyFont="1" applyFill="1" applyBorder="1" applyAlignment="1">
      <alignment horizontal="left" vertical="center" wrapText="1"/>
    </xf>
    <xf numFmtId="0" fontId="2" fillId="0" borderId="0" xfId="0" applyFont="1" applyAlignment="1">
      <alignment horizontal="left" vertical="center" wrapText="1"/>
    </xf>
    <xf numFmtId="1" fontId="54" fillId="0" borderId="61" xfId="0" applyNumberFormat="1" applyFont="1" applyBorder="1" applyAlignment="1">
      <alignment horizontal="center" vertical="center"/>
    </xf>
    <xf numFmtId="0" fontId="0" fillId="0" borderId="4" xfId="0" applyBorder="1" applyAlignment="1">
      <alignment horizontal="center"/>
    </xf>
    <xf numFmtId="0" fontId="10" fillId="9" borderId="4" xfId="0" applyFont="1" applyFill="1" applyBorder="1" applyAlignment="1">
      <alignment horizontal="center"/>
    </xf>
    <xf numFmtId="0" fontId="8" fillId="0" borderId="16" xfId="0" applyFont="1" applyBorder="1"/>
    <xf numFmtId="4" fontId="2" fillId="9" borderId="5" xfId="0" applyNumberFormat="1" applyFont="1" applyFill="1" applyBorder="1" applyAlignment="1">
      <alignment horizontal="center"/>
    </xf>
    <xf numFmtId="4" fontId="4" fillId="26" borderId="2" xfId="0" applyNumberFormat="1" applyFont="1" applyFill="1" applyBorder="1" applyAlignment="1">
      <alignment horizontal="center"/>
    </xf>
    <xf numFmtId="4" fontId="4" fillId="26" borderId="14" xfId="0" applyNumberFormat="1" applyFont="1" applyFill="1" applyBorder="1" applyAlignment="1">
      <alignment horizontal="center"/>
    </xf>
    <xf numFmtId="4" fontId="4" fillId="26" borderId="7" xfId="0" applyNumberFormat="1" applyFont="1" applyFill="1" applyBorder="1" applyAlignment="1">
      <alignment horizontal="center"/>
    </xf>
    <xf numFmtId="4" fontId="4" fillId="26" borderId="6" xfId="0" applyNumberFormat="1" applyFont="1" applyFill="1" applyBorder="1" applyAlignment="1">
      <alignment horizontal="center"/>
    </xf>
    <xf numFmtId="4" fontId="4" fillId="26" borderId="54" xfId="0" applyNumberFormat="1" applyFont="1" applyFill="1" applyBorder="1" applyAlignment="1">
      <alignment horizontal="center"/>
    </xf>
    <xf numFmtId="4" fontId="4" fillId="26" borderId="5" xfId="0" applyNumberFormat="1" applyFont="1" applyFill="1" applyBorder="1" applyAlignment="1">
      <alignment horizontal="center" vertical="center"/>
    </xf>
    <xf numFmtId="10" fontId="3" fillId="2" borderId="9" xfId="0" applyNumberFormat="1" applyFont="1" applyFill="1" applyBorder="1" applyAlignment="1">
      <alignment horizontal="center"/>
    </xf>
    <xf numFmtId="165" fontId="4" fillId="10" borderId="16" xfId="0" applyNumberFormat="1" applyFont="1" applyFill="1" applyBorder="1" applyAlignment="1">
      <alignment horizontal="center"/>
    </xf>
    <xf numFmtId="9" fontId="50" fillId="10" borderId="10" xfId="0" applyNumberFormat="1" applyFont="1" applyFill="1" applyBorder="1" applyAlignment="1">
      <alignment horizontal="center"/>
    </xf>
    <xf numFmtId="165" fontId="51" fillId="10" borderId="16" xfId="0" applyNumberFormat="1" applyFont="1" applyFill="1" applyBorder="1" applyAlignment="1">
      <alignment horizontal="center"/>
    </xf>
    <xf numFmtId="0" fontId="54" fillId="13" borderId="0" xfId="0" applyFont="1" applyFill="1" applyAlignment="1">
      <alignment horizontal="left" vertical="center" wrapText="1"/>
    </xf>
    <xf numFmtId="0" fontId="46" fillId="12" borderId="85" xfId="0" applyFont="1" applyFill="1" applyBorder="1"/>
    <xf numFmtId="164" fontId="55" fillId="15" borderId="6" xfId="0" applyNumberFormat="1" applyFont="1" applyFill="1" applyBorder="1" applyAlignment="1">
      <alignment horizontal="center"/>
    </xf>
    <xf numFmtId="0" fontId="8" fillId="15" borderId="2" xfId="0" applyFont="1" applyFill="1" applyBorder="1" applyAlignment="1">
      <alignment horizontal="center" wrapText="1"/>
    </xf>
    <xf numFmtId="165" fontId="10" fillId="15" borderId="82" xfId="0" applyNumberFormat="1" applyFont="1" applyFill="1" applyBorder="1" applyAlignment="1">
      <alignment horizontal="center"/>
    </xf>
    <xf numFmtId="165" fontId="50" fillId="15" borderId="16" xfId="0" applyNumberFormat="1" applyFont="1" applyFill="1" applyBorder="1" applyAlignment="1">
      <alignment horizontal="center"/>
    </xf>
    <xf numFmtId="165" fontId="60" fillId="15" borderId="16" xfId="0" applyNumberFormat="1" applyFont="1" applyFill="1" applyBorder="1" applyAlignment="1">
      <alignment horizontal="center"/>
    </xf>
    <xf numFmtId="165" fontId="51" fillId="15" borderId="23" xfId="0" applyNumberFormat="1" applyFont="1" applyFill="1" applyBorder="1" applyAlignment="1">
      <alignment horizontal="center"/>
    </xf>
    <xf numFmtId="165" fontId="10" fillId="15" borderId="6" xfId="0" applyNumberFormat="1" applyFont="1" applyFill="1" applyBorder="1" applyAlignment="1">
      <alignment horizontal="center"/>
    </xf>
    <xf numFmtId="0" fontId="46" fillId="15" borderId="68" xfId="0" applyFont="1" applyFill="1" applyBorder="1"/>
    <xf numFmtId="164" fontId="54" fillId="29" borderId="6" xfId="0" applyNumberFormat="1" applyFont="1" applyFill="1" applyBorder="1" applyAlignment="1">
      <alignment horizontal="center"/>
    </xf>
    <xf numFmtId="0" fontId="54" fillId="2" borderId="0" xfId="0" applyFont="1" applyFill="1" applyAlignment="1">
      <alignment horizontal="left" vertical="center" wrapText="1"/>
    </xf>
    <xf numFmtId="4" fontId="4" fillId="26" borderId="4" xfId="0" applyNumberFormat="1" applyFont="1" applyFill="1" applyBorder="1" applyAlignment="1">
      <alignment horizontal="center"/>
    </xf>
    <xf numFmtId="0" fontId="10" fillId="25" borderId="2" xfId="0" applyFont="1" applyFill="1" applyBorder="1" applyAlignment="1">
      <alignment horizontal="center"/>
    </xf>
    <xf numFmtId="0" fontId="10" fillId="25" borderId="2" xfId="0" applyFont="1" applyFill="1" applyBorder="1" applyAlignment="1">
      <alignment horizontal="left" wrapText="1"/>
    </xf>
    <xf numFmtId="0" fontId="45" fillId="0" borderId="0" xfId="0" applyFont="1" applyAlignment="1">
      <alignment horizontal="left" vertical="center" wrapText="1"/>
    </xf>
    <xf numFmtId="165" fontId="51" fillId="15" borderId="4" xfId="0" applyNumberFormat="1" applyFont="1" applyFill="1" applyBorder="1" applyAlignment="1">
      <alignment horizontal="center"/>
    </xf>
    <xf numFmtId="4" fontId="0" fillId="0" borderId="0" xfId="0" applyNumberFormat="1" applyAlignment="1">
      <alignment horizontal="left"/>
    </xf>
    <xf numFmtId="0" fontId="34" fillId="0" borderId="0" xfId="0" applyFont="1" applyAlignment="1">
      <alignment horizontal="left"/>
    </xf>
    <xf numFmtId="4" fontId="4" fillId="9" borderId="5" xfId="0" applyNumberFormat="1" applyFont="1" applyFill="1" applyBorder="1" applyAlignment="1">
      <alignment horizontal="center"/>
    </xf>
    <xf numFmtId="4" fontId="0" fillId="26" borderId="5" xfId="0" applyNumberFormat="1" applyFill="1" applyBorder="1" applyAlignment="1">
      <alignment horizontal="center"/>
    </xf>
    <xf numFmtId="4" fontId="86" fillId="26" borderId="5" xfId="0" applyNumberFormat="1" applyFont="1" applyFill="1" applyBorder="1" applyAlignment="1">
      <alignment horizontal="center"/>
    </xf>
    <xf numFmtId="4" fontId="10" fillId="17" borderId="5" xfId="0" applyNumberFormat="1" applyFont="1" applyFill="1" applyBorder="1" applyAlignment="1">
      <alignment horizontal="center"/>
    </xf>
    <xf numFmtId="165" fontId="51" fillId="27" borderId="16" xfId="0" applyNumberFormat="1" applyFont="1" applyFill="1" applyBorder="1" applyAlignment="1">
      <alignment horizontal="center"/>
    </xf>
    <xf numFmtId="165" fontId="10" fillId="27" borderId="6" xfId="0" applyNumberFormat="1" applyFont="1" applyFill="1" applyBorder="1" applyAlignment="1">
      <alignment horizontal="center"/>
    </xf>
    <xf numFmtId="165" fontId="50" fillId="27" borderId="21" xfId="0" applyNumberFormat="1" applyFont="1" applyFill="1" applyBorder="1" applyAlignment="1">
      <alignment horizontal="center"/>
    </xf>
    <xf numFmtId="165" fontId="60" fillId="27" borderId="12" xfId="0" applyNumberFormat="1" applyFont="1" applyFill="1" applyBorder="1" applyAlignment="1">
      <alignment horizontal="center"/>
    </xf>
    <xf numFmtId="164" fontId="55" fillId="27" borderId="2" xfId="0" applyNumberFormat="1" applyFont="1" applyFill="1" applyBorder="1" applyAlignment="1">
      <alignment horizontal="center"/>
    </xf>
    <xf numFmtId="164" fontId="54" fillId="27" borderId="2" xfId="0" applyNumberFormat="1" applyFont="1" applyFill="1" applyBorder="1" applyAlignment="1">
      <alignment horizontal="center"/>
    </xf>
    <xf numFmtId="1" fontId="54" fillId="29" borderId="22" xfId="0" applyNumberFormat="1" applyFont="1" applyFill="1" applyBorder="1" applyAlignment="1">
      <alignment horizontal="center" vertical="center"/>
    </xf>
    <xf numFmtId="164" fontId="63" fillId="27" borderId="6" xfId="0" applyNumberFormat="1" applyFont="1" applyFill="1" applyBorder="1" applyAlignment="1">
      <alignment horizontal="center" vertical="center"/>
    </xf>
    <xf numFmtId="165" fontId="51" fillId="25" borderId="15" xfId="0" applyNumberFormat="1" applyFont="1" applyFill="1" applyBorder="1" applyAlignment="1">
      <alignment horizontal="center"/>
    </xf>
    <xf numFmtId="165" fontId="51" fillId="25" borderId="23" xfId="0" applyNumberFormat="1" applyFont="1" applyFill="1" applyBorder="1" applyAlignment="1">
      <alignment horizontal="center"/>
    </xf>
    <xf numFmtId="165" fontId="54" fillId="25" borderId="24" xfId="0" applyNumberFormat="1" applyFont="1" applyFill="1" applyBorder="1" applyAlignment="1">
      <alignment horizontal="center"/>
    </xf>
    <xf numFmtId="165" fontId="10" fillId="25" borderId="15" xfId="0" applyNumberFormat="1" applyFont="1" applyFill="1" applyBorder="1" applyAlignment="1">
      <alignment horizontal="center"/>
    </xf>
    <xf numFmtId="165" fontId="51" fillId="25" borderId="27" xfId="0" applyNumberFormat="1" applyFont="1" applyFill="1" applyBorder="1" applyAlignment="1">
      <alignment horizontal="center"/>
    </xf>
    <xf numFmtId="165" fontId="57" fillId="25" borderId="9" xfId="0" applyNumberFormat="1" applyFont="1" applyFill="1" applyBorder="1" applyAlignment="1">
      <alignment horizontal="center"/>
    </xf>
    <xf numFmtId="165" fontId="50" fillId="25" borderId="23" xfId="0" applyNumberFormat="1" applyFont="1" applyFill="1" applyBorder="1" applyAlignment="1">
      <alignment horizontal="center"/>
    </xf>
    <xf numFmtId="165" fontId="60" fillId="25" borderId="23" xfId="0" applyNumberFormat="1" applyFont="1" applyFill="1" applyBorder="1" applyAlignment="1">
      <alignment horizontal="center"/>
    </xf>
    <xf numFmtId="0" fontId="50" fillId="25" borderId="9" xfId="0" applyFont="1" applyFill="1" applyBorder="1" applyAlignment="1">
      <alignment horizontal="center" wrapText="1"/>
    </xf>
    <xf numFmtId="165" fontId="63" fillId="25" borderId="9" xfId="0" applyNumberFormat="1" applyFont="1" applyFill="1" applyBorder="1" applyAlignment="1">
      <alignment horizontal="center"/>
    </xf>
    <xf numFmtId="164" fontId="55" fillId="25" borderId="15" xfId="0" applyNumberFormat="1" applyFont="1" applyFill="1" applyBorder="1" applyAlignment="1">
      <alignment horizontal="center"/>
    </xf>
    <xf numFmtId="164" fontId="54" fillId="25" borderId="15" xfId="0" applyNumberFormat="1" applyFont="1" applyFill="1" applyBorder="1" applyAlignment="1">
      <alignment horizontal="center"/>
    </xf>
    <xf numFmtId="164" fontId="54" fillId="2" borderId="62" xfId="0" applyNumberFormat="1" applyFont="1" applyFill="1" applyBorder="1" applyAlignment="1">
      <alignment horizontal="center"/>
    </xf>
    <xf numFmtId="1" fontId="54" fillId="0" borderId="72" xfId="0" applyNumberFormat="1" applyFont="1" applyBorder="1" applyAlignment="1">
      <alignment horizontal="center" vertical="center"/>
    </xf>
    <xf numFmtId="165" fontId="51" fillId="27" borderId="6" xfId="0" applyNumberFormat="1" applyFont="1" applyFill="1" applyBorder="1" applyAlignment="1">
      <alignment horizontal="center"/>
    </xf>
    <xf numFmtId="165" fontId="51" fillId="27" borderId="23" xfId="0" applyNumberFormat="1" applyFont="1" applyFill="1" applyBorder="1" applyAlignment="1">
      <alignment horizontal="center"/>
    </xf>
    <xf numFmtId="165" fontId="51" fillId="27" borderId="4" xfId="0" applyNumberFormat="1" applyFont="1" applyFill="1" applyBorder="1" applyAlignment="1">
      <alignment horizontal="center"/>
    </xf>
    <xf numFmtId="165" fontId="50" fillId="27" borderId="16" xfId="0" applyNumberFormat="1" applyFont="1" applyFill="1" applyBorder="1" applyAlignment="1">
      <alignment horizontal="center"/>
    </xf>
    <xf numFmtId="0" fontId="46" fillId="27" borderId="68" xfId="0" applyFont="1" applyFill="1" applyBorder="1"/>
    <xf numFmtId="164" fontId="55" fillId="27" borderId="6" xfId="0" applyNumberFormat="1" applyFont="1" applyFill="1" applyBorder="1" applyAlignment="1">
      <alignment horizontal="center"/>
    </xf>
    <xf numFmtId="4" fontId="4" fillId="30" borderId="5" xfId="0" applyNumberFormat="1" applyFont="1" applyFill="1" applyBorder="1" applyAlignment="1">
      <alignment horizontal="center"/>
    </xf>
    <xf numFmtId="4" fontId="10" fillId="30" borderId="5" xfId="0" applyNumberFormat="1" applyFont="1" applyFill="1" applyBorder="1" applyAlignment="1">
      <alignment horizontal="center"/>
    </xf>
    <xf numFmtId="0" fontId="2" fillId="0" borderId="0" xfId="0" applyFont="1" applyAlignment="1">
      <alignment horizontal="left" wrapText="1"/>
    </xf>
    <xf numFmtId="4" fontId="4" fillId="9" borderId="8" xfId="0" applyNumberFormat="1" applyFont="1" applyFill="1" applyBorder="1" applyAlignment="1">
      <alignment horizontal="center"/>
    </xf>
    <xf numFmtId="165" fontId="51" fillId="26" borderId="15" xfId="0" applyNumberFormat="1" applyFont="1" applyFill="1" applyBorder="1" applyAlignment="1">
      <alignment horizontal="center"/>
    </xf>
    <xf numFmtId="0" fontId="50" fillId="26" borderId="9" xfId="0" applyFont="1" applyFill="1" applyBorder="1" applyAlignment="1">
      <alignment horizontal="center" wrapText="1"/>
    </xf>
    <xf numFmtId="164" fontId="55" fillId="26" borderId="15" xfId="0" applyNumberFormat="1" applyFont="1" applyFill="1" applyBorder="1" applyAlignment="1">
      <alignment horizontal="center"/>
    </xf>
    <xf numFmtId="165" fontId="46" fillId="2" borderId="86" xfId="0" applyNumberFormat="1" applyFont="1" applyFill="1" applyBorder="1" applyAlignment="1">
      <alignment horizontal="center"/>
    </xf>
    <xf numFmtId="164" fontId="55" fillId="24" borderId="6" xfId="0" applyNumberFormat="1" applyFont="1" applyFill="1" applyBorder="1" applyAlignment="1">
      <alignment horizontal="center"/>
    </xf>
    <xf numFmtId="0" fontId="1" fillId="2" borderId="58" xfId="0" applyFont="1" applyFill="1" applyBorder="1" applyAlignment="1">
      <alignment horizontal="center" wrapText="1"/>
    </xf>
    <xf numFmtId="165" fontId="10" fillId="24" borderId="16" xfId="0" applyNumberFormat="1" applyFont="1" applyFill="1" applyBorder="1" applyAlignment="1">
      <alignment horizontal="center"/>
    </xf>
    <xf numFmtId="165" fontId="50" fillId="24" borderId="16" xfId="0" applyNumberFormat="1" applyFont="1" applyFill="1" applyBorder="1" applyAlignment="1">
      <alignment horizontal="center"/>
    </xf>
    <xf numFmtId="0" fontId="46" fillId="12" borderId="58" xfId="0" applyFont="1" applyFill="1" applyBorder="1"/>
    <xf numFmtId="0" fontId="50" fillId="24" borderId="2" xfId="0" applyFont="1" applyFill="1" applyBorder="1" applyAlignment="1">
      <alignment horizontal="center" wrapText="1"/>
    </xf>
    <xf numFmtId="164" fontId="63" fillId="24" borderId="6" xfId="0" applyNumberFormat="1" applyFont="1" applyFill="1" applyBorder="1" applyAlignment="1">
      <alignment horizontal="center" vertical="center"/>
    </xf>
    <xf numFmtId="165" fontId="54" fillId="27" borderId="24" xfId="0" applyNumberFormat="1" applyFont="1" applyFill="1" applyBorder="1" applyAlignment="1">
      <alignment horizontal="center"/>
    </xf>
    <xf numFmtId="165" fontId="54" fillId="26" borderId="12" xfId="0" applyNumberFormat="1" applyFont="1" applyFill="1" applyBorder="1" applyAlignment="1">
      <alignment horizontal="center"/>
    </xf>
    <xf numFmtId="164" fontId="54" fillId="12" borderId="20" xfId="0" applyNumberFormat="1" applyFont="1" applyFill="1" applyBorder="1" applyAlignment="1">
      <alignment horizontal="center" vertical="center"/>
    </xf>
    <xf numFmtId="0" fontId="4" fillId="31" borderId="5" xfId="0" applyFont="1" applyFill="1" applyBorder="1" applyAlignment="1">
      <alignment horizontal="center" wrapText="1"/>
    </xf>
    <xf numFmtId="0" fontId="4" fillId="31" borderId="2" xfId="0" applyFont="1" applyFill="1" applyBorder="1" applyAlignment="1">
      <alignment wrapText="1"/>
    </xf>
    <xf numFmtId="4" fontId="4" fillId="31" borderId="5" xfId="0" applyNumberFormat="1" applyFont="1" applyFill="1" applyBorder="1" applyAlignment="1">
      <alignment horizontal="center"/>
    </xf>
    <xf numFmtId="4" fontId="4" fillId="15" borderId="5" xfId="0" applyNumberFormat="1" applyFont="1" applyFill="1" applyBorder="1" applyAlignment="1">
      <alignment horizontal="center"/>
    </xf>
    <xf numFmtId="4" fontId="4" fillId="32" borderId="5" xfId="0" applyNumberFormat="1" applyFont="1" applyFill="1" applyBorder="1" applyAlignment="1">
      <alignment horizontal="center"/>
    </xf>
    <xf numFmtId="4" fontId="4" fillId="32" borderId="22" xfId="0" applyNumberFormat="1" applyFont="1" applyFill="1" applyBorder="1" applyAlignment="1">
      <alignment horizontal="center"/>
    </xf>
    <xf numFmtId="4" fontId="4" fillId="15" borderId="2" xfId="0" applyNumberFormat="1" applyFont="1" applyFill="1" applyBorder="1" applyAlignment="1">
      <alignment horizontal="center"/>
    </xf>
    <xf numFmtId="4" fontId="10" fillId="15" borderId="2" xfId="0" applyNumberFormat="1" applyFont="1" applyFill="1" applyBorder="1" applyAlignment="1">
      <alignment horizontal="center"/>
    </xf>
    <xf numFmtId="4" fontId="4" fillId="15" borderId="7" xfId="0" applyNumberFormat="1" applyFont="1" applyFill="1" applyBorder="1" applyAlignment="1">
      <alignment horizontal="center"/>
    </xf>
    <xf numFmtId="4" fontId="10" fillId="15" borderId="7" xfId="0" applyNumberFormat="1" applyFont="1" applyFill="1" applyBorder="1" applyAlignment="1">
      <alignment horizontal="center"/>
    </xf>
    <xf numFmtId="4" fontId="4" fillId="15" borderId="8" xfId="0" applyNumberFormat="1" applyFont="1" applyFill="1" applyBorder="1" applyAlignment="1">
      <alignment horizontal="center"/>
    </xf>
    <xf numFmtId="4" fontId="10" fillId="15" borderId="8" xfId="0" applyNumberFormat="1" applyFont="1" applyFill="1" applyBorder="1" applyAlignment="1">
      <alignment horizontal="center" wrapText="1"/>
    </xf>
    <xf numFmtId="4" fontId="43" fillId="15" borderId="8" xfId="0" applyNumberFormat="1" applyFont="1" applyFill="1" applyBorder="1" applyAlignment="1">
      <alignment horizontal="center"/>
    </xf>
    <xf numFmtId="4" fontId="4" fillId="32" borderId="50" xfId="0" applyNumberFormat="1" applyFont="1" applyFill="1" applyBorder="1" applyAlignment="1">
      <alignment horizontal="center"/>
    </xf>
    <xf numFmtId="4" fontId="43" fillId="32" borderId="14" xfId="0" applyNumberFormat="1" applyFont="1" applyFill="1" applyBorder="1" applyAlignment="1">
      <alignment horizontal="center"/>
    </xf>
    <xf numFmtId="4" fontId="4" fillId="24" borderId="5" xfId="0" applyNumberFormat="1" applyFont="1" applyFill="1" applyBorder="1" applyAlignment="1">
      <alignment horizontal="center"/>
    </xf>
    <xf numFmtId="0" fontId="1" fillId="26" borderId="68" xfId="0" applyFont="1" applyFill="1" applyBorder="1" applyAlignment="1">
      <alignment horizontal="center" vertical="center" wrapText="1"/>
    </xf>
    <xf numFmtId="0" fontId="1" fillId="27" borderId="20" xfId="0" applyFont="1" applyFill="1" applyBorder="1" applyAlignment="1">
      <alignment horizontal="center" vertical="center" wrapText="1"/>
    </xf>
    <xf numFmtId="0" fontId="1" fillId="15" borderId="58" xfId="0" applyFont="1" applyFill="1" applyBorder="1" applyAlignment="1">
      <alignment horizontal="center" vertical="center" wrapText="1"/>
    </xf>
    <xf numFmtId="0" fontId="1" fillId="25" borderId="20" xfId="0" applyFont="1" applyFill="1" applyBorder="1" applyAlignment="1">
      <alignment horizontal="center" vertical="center" wrapText="1"/>
    </xf>
    <xf numFmtId="0" fontId="1" fillId="24" borderId="20" xfId="0" applyFont="1" applyFill="1" applyBorder="1" applyAlignment="1">
      <alignment horizontal="center" vertical="center" wrapText="1"/>
    </xf>
    <xf numFmtId="0" fontId="19" fillId="26" borderId="15" xfId="0" applyFont="1" applyFill="1" applyBorder="1" applyAlignment="1">
      <alignment horizontal="center" vertical="center" wrapText="1"/>
    </xf>
    <xf numFmtId="0" fontId="47" fillId="26" borderId="27" xfId="0" applyFont="1" applyFill="1" applyBorder="1" applyAlignment="1">
      <alignment horizontal="center" vertical="center" wrapText="1"/>
    </xf>
    <xf numFmtId="1" fontId="48" fillId="15" borderId="7" xfId="0" applyNumberFormat="1" applyFont="1" applyFill="1" applyBorder="1" applyAlignment="1">
      <alignment horizontal="center" vertical="center" wrapText="1"/>
    </xf>
    <xf numFmtId="1" fontId="48" fillId="15" borderId="14" xfId="0" applyNumberFormat="1" applyFont="1" applyFill="1" applyBorder="1" applyAlignment="1">
      <alignment horizontal="center" vertical="center" wrapText="1"/>
    </xf>
    <xf numFmtId="0" fontId="19" fillId="15" borderId="6" xfId="0" applyFont="1" applyFill="1" applyBorder="1" applyAlignment="1">
      <alignment horizontal="center" vertical="center" wrapText="1"/>
    </xf>
    <xf numFmtId="0" fontId="47" fillId="15" borderId="4" xfId="0" applyFont="1" applyFill="1" applyBorder="1" applyAlignment="1">
      <alignment horizontal="center" vertical="center" wrapText="1"/>
    </xf>
    <xf numFmtId="0" fontId="19" fillId="21" borderId="15" xfId="0" applyFont="1" applyFill="1" applyBorder="1" applyAlignment="1">
      <alignment horizontal="center" vertical="center" wrapText="1"/>
    </xf>
    <xf numFmtId="0" fontId="47" fillId="21" borderId="27" xfId="0" applyFont="1" applyFill="1" applyBorder="1" applyAlignment="1">
      <alignment horizontal="center" vertical="center" wrapText="1"/>
    </xf>
    <xf numFmtId="0" fontId="19" fillId="24" borderId="6" xfId="0" applyFont="1" applyFill="1" applyBorder="1" applyAlignment="1">
      <alignment horizontal="center" vertical="center" wrapText="1"/>
    </xf>
    <xf numFmtId="0" fontId="47" fillId="24" borderId="4" xfId="0" applyFont="1" applyFill="1" applyBorder="1" applyAlignment="1">
      <alignment horizontal="center" vertical="center" wrapText="1"/>
    </xf>
    <xf numFmtId="0" fontId="24" fillId="0" borderId="0" xfId="0" applyFont="1" applyAlignment="1">
      <alignment vertical="center" wrapText="1"/>
    </xf>
    <xf numFmtId="0" fontId="8" fillId="0" borderId="0" xfId="0" applyFont="1" applyAlignment="1">
      <alignment wrapText="1"/>
    </xf>
    <xf numFmtId="0" fontId="1" fillId="0" borderId="0" xfId="0" applyFont="1" applyAlignment="1">
      <alignment wrapText="1"/>
    </xf>
    <xf numFmtId="0" fontId="0" fillId="0" borderId="0" xfId="0" applyAlignment="1">
      <alignment wrapText="1"/>
    </xf>
    <xf numFmtId="0" fontId="0" fillId="0" borderId="0" xfId="0"/>
    <xf numFmtId="0" fontId="19" fillId="25" borderId="6" xfId="0" applyFont="1" applyFill="1" applyBorder="1" applyAlignment="1">
      <alignment horizontal="center" vertical="center" wrapText="1"/>
    </xf>
    <xf numFmtId="0" fontId="47" fillId="25" borderId="4" xfId="0" applyFont="1" applyFill="1" applyBorder="1" applyAlignment="1">
      <alignment horizontal="center" vertical="center" wrapText="1"/>
    </xf>
    <xf numFmtId="0" fontId="0" fillId="0" borderId="1" xfId="0" applyBorder="1" applyAlignment="1">
      <alignment vertical="center" wrapText="1"/>
    </xf>
    <xf numFmtId="0" fontId="0" fillId="0" borderId="27" xfId="0" applyBorder="1" applyAlignment="1">
      <alignment vertical="center" wrapText="1"/>
    </xf>
    <xf numFmtId="1" fontId="48" fillId="24" borderId="7" xfId="0" applyNumberFormat="1" applyFont="1" applyFill="1" applyBorder="1" applyAlignment="1">
      <alignment horizontal="center" vertical="center" wrapText="1"/>
    </xf>
    <xf numFmtId="1" fontId="48" fillId="24" borderId="14" xfId="0" applyNumberFormat="1" applyFont="1" applyFill="1" applyBorder="1" applyAlignment="1">
      <alignment horizontal="center" vertical="center" wrapText="1"/>
    </xf>
    <xf numFmtId="0" fontId="19" fillId="27" borderId="6" xfId="0" applyFont="1" applyFill="1" applyBorder="1" applyAlignment="1">
      <alignment horizontal="center" vertical="center" wrapText="1"/>
    </xf>
    <xf numFmtId="0" fontId="47" fillId="27" borderId="4" xfId="0" applyFont="1" applyFill="1" applyBorder="1" applyAlignment="1">
      <alignment horizontal="center" vertical="center" wrapText="1"/>
    </xf>
    <xf numFmtId="0" fontId="19" fillId="16" borderId="6" xfId="0" applyFont="1" applyFill="1" applyBorder="1" applyAlignment="1">
      <alignment horizontal="center" vertical="center" wrapText="1"/>
    </xf>
    <xf numFmtId="0" fontId="47" fillId="16" borderId="4" xfId="0" applyFont="1" applyFill="1" applyBorder="1" applyAlignment="1">
      <alignment horizontal="center" vertical="center" wrapText="1"/>
    </xf>
    <xf numFmtId="1" fontId="48" fillId="27" borderId="7" xfId="0" applyNumberFormat="1" applyFont="1" applyFill="1" applyBorder="1" applyAlignment="1">
      <alignment horizontal="center" vertical="center" wrapText="1"/>
    </xf>
    <xf numFmtId="1" fontId="48" fillId="27" borderId="14" xfId="0" applyNumberFormat="1" applyFont="1" applyFill="1" applyBorder="1" applyAlignment="1">
      <alignment horizontal="center" vertical="center" wrapText="1"/>
    </xf>
    <xf numFmtId="0" fontId="1" fillId="24" borderId="58" xfId="0" applyFont="1" applyFill="1" applyBorder="1" applyAlignment="1">
      <alignment horizontal="center" vertical="center" wrapText="1"/>
    </xf>
    <xf numFmtId="0" fontId="1" fillId="24" borderId="27" xfId="0" applyFont="1" applyFill="1" applyBorder="1" applyAlignment="1">
      <alignment horizontal="center" vertical="center" wrapText="1"/>
    </xf>
    <xf numFmtId="0" fontId="8" fillId="0" borderId="5" xfId="0" applyFont="1" applyBorder="1" applyAlignment="1">
      <alignment vertical="center" wrapText="1"/>
    </xf>
    <xf numFmtId="0" fontId="0" fillId="0" borderId="19" xfId="0" applyBorder="1" applyAlignment="1">
      <alignment vertical="center" wrapText="1"/>
    </xf>
    <xf numFmtId="0" fontId="0" fillId="0" borderId="9" xfId="0" applyBorder="1" applyAlignment="1">
      <alignment vertical="center" wrapText="1"/>
    </xf>
    <xf numFmtId="0" fontId="45" fillId="0" borderId="0" xfId="0" applyFont="1" applyAlignment="1">
      <alignment horizontal="center" wrapText="1"/>
    </xf>
    <xf numFmtId="0" fontId="47" fillId="9" borderId="6" xfId="0" applyFont="1" applyFill="1" applyBorder="1" applyAlignment="1">
      <alignment horizontal="center" vertical="center" wrapText="1"/>
    </xf>
    <xf numFmtId="0" fontId="47" fillId="9" borderId="4" xfId="0" applyFont="1" applyFill="1" applyBorder="1" applyAlignment="1">
      <alignment horizontal="center" vertical="center" wrapText="1"/>
    </xf>
    <xf numFmtId="0" fontId="65" fillId="0" borderId="23" xfId="0" applyFont="1" applyBorder="1" applyAlignment="1">
      <alignment horizontal="left" wrapText="1"/>
    </xf>
    <xf numFmtId="0" fontId="47" fillId="17" borderId="6" xfId="0" applyFont="1" applyFill="1" applyBorder="1" applyAlignment="1">
      <alignment horizontal="center" vertical="center" wrapText="1"/>
    </xf>
    <xf numFmtId="0" fontId="47" fillId="17" borderId="4" xfId="0" applyFont="1" applyFill="1" applyBorder="1" applyAlignment="1">
      <alignment horizontal="center" vertical="center" wrapText="1"/>
    </xf>
    <xf numFmtId="1" fontId="48" fillId="9" borderId="7" xfId="0" applyNumberFormat="1" applyFont="1" applyFill="1" applyBorder="1" applyAlignment="1">
      <alignment horizontal="center" vertical="center" wrapText="1"/>
    </xf>
    <xf numFmtId="1" fontId="48" fillId="9" borderId="14" xfId="0" applyNumberFormat="1" applyFont="1" applyFill="1" applyBorder="1" applyAlignment="1">
      <alignment horizontal="center" vertical="center" wrapText="1"/>
    </xf>
    <xf numFmtId="0" fontId="47" fillId="15" borderId="6" xfId="0" applyFont="1" applyFill="1" applyBorder="1" applyAlignment="1">
      <alignment horizontal="center" vertical="center" wrapText="1"/>
    </xf>
    <xf numFmtId="1" fontId="48" fillId="16" borderId="6" xfId="0" applyNumberFormat="1" applyFont="1" applyFill="1" applyBorder="1" applyAlignment="1">
      <alignment horizontal="center" vertical="center" wrapText="1"/>
    </xf>
    <xf numFmtId="1" fontId="48" fillId="16" borderId="4" xfId="0" applyNumberFormat="1" applyFont="1" applyFill="1" applyBorder="1" applyAlignment="1">
      <alignment horizontal="center" vertical="center" wrapText="1"/>
    </xf>
    <xf numFmtId="0" fontId="1" fillId="27" borderId="58" xfId="0" applyFont="1" applyFill="1" applyBorder="1" applyAlignment="1">
      <alignment horizontal="center" vertical="center" wrapText="1"/>
    </xf>
    <xf numFmtId="0" fontId="1" fillId="27" borderId="25" xfId="0" applyFont="1" applyFill="1" applyBorder="1" applyAlignment="1">
      <alignment horizontal="center" vertical="center" wrapText="1"/>
    </xf>
    <xf numFmtId="0" fontId="47" fillId="16" borderId="6" xfId="0" applyFont="1" applyFill="1" applyBorder="1" applyAlignment="1">
      <alignment horizontal="center" vertical="center" wrapText="1"/>
    </xf>
    <xf numFmtId="0" fontId="1" fillId="15" borderId="14"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1" fillId="16" borderId="58" xfId="0" applyFont="1" applyFill="1" applyBorder="1" applyAlignment="1">
      <alignment horizontal="center" vertical="center" wrapText="1"/>
    </xf>
    <xf numFmtId="0" fontId="1" fillId="16" borderId="25" xfId="0" applyFont="1" applyFill="1" applyBorder="1" applyAlignment="1">
      <alignment horizontal="center" vertical="center" wrapText="1"/>
    </xf>
    <xf numFmtId="0" fontId="1" fillId="21" borderId="14" xfId="0" applyFont="1" applyFill="1" applyBorder="1" applyAlignment="1">
      <alignment horizontal="center" vertical="center" wrapText="1"/>
    </xf>
    <xf numFmtId="0" fontId="1" fillId="21" borderId="27" xfId="0" applyFont="1" applyFill="1" applyBorder="1" applyAlignment="1">
      <alignment horizontal="center" vertical="center" wrapText="1"/>
    </xf>
    <xf numFmtId="0" fontId="1" fillId="12" borderId="37" xfId="0" applyFont="1" applyFill="1" applyBorder="1" applyAlignment="1">
      <alignment horizontal="center" vertical="center" wrapText="1"/>
    </xf>
    <xf numFmtId="0" fontId="1" fillId="9" borderId="14" xfId="0" applyFont="1" applyFill="1" applyBorder="1" applyAlignment="1">
      <alignment horizontal="center" vertical="center" wrapText="1"/>
    </xf>
    <xf numFmtId="0" fontId="1" fillId="9" borderId="1" xfId="0" applyFont="1" applyFill="1" applyBorder="1" applyAlignment="1">
      <alignment horizontal="center" vertical="center" wrapText="1"/>
    </xf>
    <xf numFmtId="1" fontId="48" fillId="17" borderId="7" xfId="0" applyNumberFormat="1" applyFont="1" applyFill="1" applyBorder="1" applyAlignment="1">
      <alignment horizontal="center" vertical="center" wrapText="1"/>
    </xf>
    <xf numFmtId="1" fontId="48" fillId="17" borderId="14" xfId="0" applyNumberFormat="1" applyFont="1" applyFill="1" applyBorder="1" applyAlignment="1">
      <alignment horizontal="center" vertical="center" wrapText="1"/>
    </xf>
    <xf numFmtId="1" fontId="48" fillId="21" borderId="6" xfId="0" applyNumberFormat="1" applyFont="1" applyFill="1" applyBorder="1" applyAlignment="1">
      <alignment horizontal="center" vertical="center" wrapText="1"/>
    </xf>
    <xf numFmtId="1" fontId="48" fillId="21" borderId="4" xfId="0" applyNumberFormat="1" applyFont="1" applyFill="1" applyBorder="1" applyAlignment="1">
      <alignment horizontal="center" vertical="center" wrapText="1"/>
    </xf>
    <xf numFmtId="0" fontId="8" fillId="0" borderId="19" xfId="0" applyFont="1" applyBorder="1" applyAlignment="1">
      <alignment vertical="center" wrapText="1"/>
    </xf>
    <xf numFmtId="0" fontId="8" fillId="0" borderId="9" xfId="0" applyFont="1" applyBorder="1" applyAlignment="1">
      <alignment vertical="center" wrapText="1"/>
    </xf>
    <xf numFmtId="0" fontId="36" fillId="0" borderId="5" xfId="0" applyFont="1" applyBorder="1" applyAlignment="1">
      <alignment vertical="center" wrapText="1"/>
    </xf>
    <xf numFmtId="0" fontId="8" fillId="0" borderId="19" xfId="0" applyFont="1" applyBorder="1" applyAlignment="1">
      <alignment vertical="center"/>
    </xf>
    <xf numFmtId="0" fontId="8" fillId="0" borderId="9" xfId="0" applyFont="1" applyBorder="1" applyAlignment="1">
      <alignment vertical="center"/>
    </xf>
    <xf numFmtId="0" fontId="8" fillId="12" borderId="5" xfId="0" applyFont="1" applyFill="1" applyBorder="1" applyAlignment="1">
      <alignment vertical="center" wrapText="1"/>
    </xf>
    <xf numFmtId="0" fontId="19" fillId="12" borderId="19" xfId="0" applyFont="1" applyFill="1" applyBorder="1" applyAlignment="1">
      <alignment vertical="center" wrapText="1"/>
    </xf>
    <xf numFmtId="0" fontId="19" fillId="12" borderId="9" xfId="0" applyFont="1" applyFill="1" applyBorder="1" applyAlignment="1">
      <alignment vertical="center" wrapText="1"/>
    </xf>
    <xf numFmtId="0" fontId="37" fillId="23" borderId="5" xfId="0" applyFont="1" applyFill="1" applyBorder="1" applyAlignment="1">
      <alignment vertical="center" wrapText="1"/>
    </xf>
    <xf numFmtId="0" fontId="37" fillId="23" borderId="19" xfId="0" applyFont="1" applyFill="1" applyBorder="1" applyAlignment="1">
      <alignment vertical="center" wrapText="1"/>
    </xf>
    <xf numFmtId="0" fontId="37" fillId="23" borderId="9" xfId="0" applyFont="1" applyFill="1" applyBorder="1" applyAlignment="1">
      <alignment vertical="center" wrapText="1"/>
    </xf>
    <xf numFmtId="0" fontId="24" fillId="23" borderId="5" xfId="0" applyFont="1" applyFill="1" applyBorder="1" applyAlignment="1">
      <alignment vertical="center" wrapText="1"/>
    </xf>
    <xf numFmtId="0" fontId="24" fillId="23" borderId="19" xfId="0" applyFont="1" applyFill="1" applyBorder="1" applyAlignment="1">
      <alignment vertical="center" wrapText="1"/>
    </xf>
    <xf numFmtId="0" fontId="24" fillId="23" borderId="9" xfId="0" applyFont="1" applyFill="1" applyBorder="1" applyAlignment="1">
      <alignment vertical="center" wrapText="1"/>
    </xf>
    <xf numFmtId="0" fontId="37" fillId="12" borderId="5" xfId="0" applyFont="1" applyFill="1" applyBorder="1" applyAlignment="1">
      <alignment vertical="center" wrapText="1"/>
    </xf>
    <xf numFmtId="0" fontId="37" fillId="12" borderId="19" xfId="0" applyFont="1" applyFill="1" applyBorder="1" applyAlignment="1">
      <alignment vertical="center"/>
    </xf>
    <xf numFmtId="0" fontId="37" fillId="12" borderId="9" xfId="0" applyFont="1" applyFill="1" applyBorder="1" applyAlignment="1">
      <alignment vertical="center"/>
    </xf>
    <xf numFmtId="0" fontId="8" fillId="2" borderId="5" xfId="0" applyFont="1" applyFill="1" applyBorder="1" applyAlignment="1">
      <alignment vertical="center" wrapText="1"/>
    </xf>
    <xf numFmtId="0" fontId="8" fillId="2" borderId="19" xfId="0" applyFont="1" applyFill="1" applyBorder="1" applyAlignment="1">
      <alignment vertical="center" wrapText="1"/>
    </xf>
    <xf numFmtId="0" fontId="8" fillId="2" borderId="9" xfId="0" applyFont="1" applyFill="1" applyBorder="1" applyAlignment="1">
      <alignment vertical="center" wrapText="1"/>
    </xf>
    <xf numFmtId="0" fontId="37" fillId="0" borderId="5" xfId="0" applyFont="1" applyBorder="1" applyAlignment="1">
      <alignment vertical="center" wrapText="1"/>
    </xf>
    <xf numFmtId="0" fontId="37" fillId="0" borderId="19" xfId="0" applyFont="1" applyBorder="1" applyAlignment="1">
      <alignment vertical="center" wrapText="1"/>
    </xf>
    <xf numFmtId="0" fontId="37" fillId="0" borderId="9" xfId="0" applyFont="1" applyBorder="1" applyAlignment="1">
      <alignment vertical="center" wrapText="1"/>
    </xf>
    <xf numFmtId="0" fontId="1" fillId="0" borderId="5" xfId="0" applyFont="1" applyBorder="1" applyAlignment="1">
      <alignment vertical="center"/>
    </xf>
    <xf numFmtId="0" fontId="1" fillId="0" borderId="19" xfId="0" applyFont="1" applyBorder="1" applyAlignment="1">
      <alignment vertical="center"/>
    </xf>
    <xf numFmtId="0" fontId="1" fillId="0" borderId="9" xfId="0" applyFont="1" applyBorder="1" applyAlignment="1">
      <alignment vertical="center"/>
    </xf>
    <xf numFmtId="0" fontId="29" fillId="23" borderId="5" xfId="0" applyFont="1" applyFill="1" applyBorder="1" applyAlignment="1">
      <alignment horizontal="left" vertical="center" wrapText="1"/>
    </xf>
    <xf numFmtId="0" fontId="29" fillId="23" borderId="19" xfId="0" applyFont="1" applyFill="1" applyBorder="1" applyAlignment="1">
      <alignment horizontal="left" vertical="center"/>
    </xf>
    <xf numFmtId="0" fontId="29" fillId="23" borderId="9" xfId="0" applyFont="1" applyFill="1" applyBorder="1" applyAlignment="1">
      <alignment horizontal="left" vertical="center"/>
    </xf>
    <xf numFmtId="0" fontId="8" fillId="2" borderId="19" xfId="0" applyFont="1" applyFill="1" applyBorder="1" applyAlignment="1">
      <alignment vertical="center"/>
    </xf>
    <xf numFmtId="0" fontId="8" fillId="2" borderId="9" xfId="0" applyFont="1" applyFill="1" applyBorder="1" applyAlignment="1">
      <alignment vertical="center"/>
    </xf>
    <xf numFmtId="0" fontId="24" fillId="12" borderId="5" xfId="0" applyFont="1" applyFill="1" applyBorder="1" applyAlignment="1">
      <alignment horizontal="left" vertical="center" wrapText="1"/>
    </xf>
    <xf numFmtId="0" fontId="24" fillId="12" borderId="19" xfId="0" applyFont="1" applyFill="1" applyBorder="1" applyAlignment="1">
      <alignment horizontal="left" vertical="center"/>
    </xf>
    <xf numFmtId="0" fontId="24" fillId="12" borderId="9" xfId="0" applyFont="1" applyFill="1" applyBorder="1" applyAlignment="1">
      <alignment horizontal="left" vertical="center"/>
    </xf>
    <xf numFmtId="0" fontId="8" fillId="23" borderId="5" xfId="0" applyFont="1" applyFill="1" applyBorder="1" applyAlignment="1">
      <alignment vertical="center" wrapText="1"/>
    </xf>
    <xf numFmtId="0" fontId="8" fillId="23" borderId="19" xfId="0" applyFont="1" applyFill="1" applyBorder="1" applyAlignment="1">
      <alignment vertical="center" wrapText="1"/>
    </xf>
    <xf numFmtId="0" fontId="8" fillId="23" borderId="9" xfId="0" applyFont="1" applyFill="1" applyBorder="1" applyAlignment="1">
      <alignment vertical="center" wrapText="1"/>
    </xf>
    <xf numFmtId="0" fontId="1" fillId="0" borderId="5" xfId="0" applyFont="1" applyBorder="1"/>
    <xf numFmtId="0" fontId="1" fillId="0" borderId="19" xfId="0" applyFont="1" applyBorder="1"/>
    <xf numFmtId="0" fontId="1" fillId="0" borderId="9" xfId="0" applyFont="1" applyBorder="1"/>
    <xf numFmtId="0" fontId="10" fillId="12" borderId="5" xfId="0" applyFont="1" applyFill="1" applyBorder="1" applyAlignment="1">
      <alignment vertical="center" wrapText="1"/>
    </xf>
    <xf numFmtId="0" fontId="10" fillId="12" borderId="19" xfId="0" applyFont="1" applyFill="1" applyBorder="1" applyAlignment="1">
      <alignment vertical="center" wrapText="1"/>
    </xf>
    <xf numFmtId="0" fontId="10" fillId="12" borderId="9" xfId="0" applyFont="1" applyFill="1" applyBorder="1" applyAlignment="1">
      <alignment vertical="center" wrapText="1"/>
    </xf>
    <xf numFmtId="0" fontId="4" fillId="5" borderId="5" xfId="0" applyFont="1" applyFill="1" applyBorder="1" applyAlignment="1">
      <alignment horizontal="left" wrapText="1"/>
    </xf>
    <xf numFmtId="0" fontId="4" fillId="5" borderId="9" xfId="0" applyFont="1" applyFill="1" applyBorder="1" applyAlignment="1">
      <alignment horizontal="left" wrapText="1"/>
    </xf>
    <xf numFmtId="0" fontId="4" fillId="0" borderId="10" xfId="0" applyFont="1" applyBorder="1" applyAlignment="1">
      <alignment horizontal="left" wrapText="1"/>
    </xf>
    <xf numFmtId="10" fontId="16" fillId="2" borderId="6" xfId="0" applyNumberFormat="1" applyFont="1" applyFill="1" applyBorder="1" applyAlignment="1">
      <alignment horizontal="center"/>
    </xf>
    <xf numFmtId="0" fontId="0" fillId="0" borderId="4" xfId="0" applyBorder="1" applyAlignment="1">
      <alignment horizontal="center"/>
    </xf>
    <xf numFmtId="4" fontId="10" fillId="9" borderId="6" xfId="0" applyNumberFormat="1" applyFont="1" applyFill="1" applyBorder="1" applyAlignment="1">
      <alignment horizontal="center"/>
    </xf>
    <xf numFmtId="0" fontId="1" fillId="9" borderId="4" xfId="0" applyFont="1" applyFill="1" applyBorder="1" applyAlignment="1">
      <alignment horizontal="center"/>
    </xf>
    <xf numFmtId="4" fontId="4" fillId="26" borderId="6" xfId="0" applyNumberFormat="1" applyFont="1" applyFill="1" applyBorder="1" applyAlignment="1">
      <alignment horizontal="center"/>
    </xf>
    <xf numFmtId="0" fontId="2" fillId="26" borderId="4" xfId="0" applyFont="1" applyFill="1" applyBorder="1" applyAlignment="1">
      <alignment horizontal="center"/>
    </xf>
    <xf numFmtId="0" fontId="39" fillId="2" borderId="5" xfId="0" applyFont="1" applyFill="1" applyBorder="1" applyAlignment="1">
      <alignment vertical="center" wrapText="1"/>
    </xf>
    <xf numFmtId="0" fontId="37" fillId="2" borderId="19" xfId="0" applyFont="1" applyFill="1" applyBorder="1" applyAlignment="1">
      <alignment vertical="center"/>
    </xf>
    <xf numFmtId="0" fontId="37" fillId="2" borderId="9" xfId="0" applyFont="1" applyFill="1" applyBorder="1" applyAlignment="1">
      <alignment vertical="center"/>
    </xf>
    <xf numFmtId="0" fontId="10" fillId="2" borderId="5" xfId="0" applyFont="1" applyFill="1" applyBorder="1" applyAlignment="1">
      <alignment vertical="center" wrapText="1"/>
    </xf>
    <xf numFmtId="0" fontId="10" fillId="2" borderId="19" xfId="0" applyFont="1" applyFill="1" applyBorder="1" applyAlignment="1">
      <alignment vertical="center" wrapText="1"/>
    </xf>
    <xf numFmtId="0" fontId="10" fillId="2" borderId="9" xfId="0" applyFont="1" applyFill="1" applyBorder="1" applyAlignment="1">
      <alignment vertical="center" wrapText="1"/>
    </xf>
    <xf numFmtId="0" fontId="35" fillId="0" borderId="5" xfId="0" applyFont="1" applyBorder="1" applyAlignment="1">
      <alignment vertical="center" wrapText="1"/>
    </xf>
    <xf numFmtId="0" fontId="19" fillId="0" borderId="19" xfId="0" applyFont="1" applyBorder="1" applyAlignment="1">
      <alignment vertical="center" wrapText="1"/>
    </xf>
    <xf numFmtId="0" fontId="19" fillId="0" borderId="9" xfId="0" applyFont="1" applyBorder="1" applyAlignment="1">
      <alignment vertical="center" wrapText="1"/>
    </xf>
    <xf numFmtId="0" fontId="8" fillId="12" borderId="19" xfId="0" applyFont="1" applyFill="1" applyBorder="1" applyAlignment="1">
      <alignment vertical="center" wrapText="1"/>
    </xf>
    <xf numFmtId="0" fontId="8" fillId="12" borderId="9" xfId="0" applyFont="1" applyFill="1" applyBorder="1" applyAlignment="1">
      <alignment vertical="center" wrapText="1"/>
    </xf>
    <xf numFmtId="0" fontId="8" fillId="0" borderId="5" xfId="0" applyFont="1" applyBorder="1" applyAlignment="1">
      <alignment vertical="center"/>
    </xf>
    <xf numFmtId="0" fontId="10" fillId="9" borderId="4" xfId="0" applyFont="1" applyFill="1" applyBorder="1" applyAlignment="1">
      <alignment horizontal="center"/>
    </xf>
    <xf numFmtId="10" fontId="16" fillId="0" borderId="6" xfId="0" applyNumberFormat="1" applyFont="1" applyBorder="1" applyAlignment="1">
      <alignment horizontal="center"/>
    </xf>
    <xf numFmtId="0" fontId="10" fillId="0" borderId="6" xfId="0" applyFont="1" applyBorder="1" applyAlignment="1">
      <alignment horizontal="center"/>
    </xf>
    <xf numFmtId="0" fontId="10" fillId="0" borderId="6" xfId="0" applyFont="1" applyBorder="1" applyAlignment="1">
      <alignment horizontal="left" wrapText="1"/>
    </xf>
    <xf numFmtId="0" fontId="0" fillId="0" borderId="4" xfId="0" applyBorder="1" applyAlignment="1">
      <alignment horizontal="left" wrapText="1"/>
    </xf>
    <xf numFmtId="0" fontId="10" fillId="12" borderId="6" xfId="0" applyFont="1" applyFill="1" applyBorder="1" applyAlignment="1">
      <alignment horizontal="center"/>
    </xf>
    <xf numFmtId="0" fontId="10" fillId="12" borderId="6" xfId="0" applyFont="1" applyFill="1" applyBorder="1" applyAlignment="1">
      <alignment wrapText="1"/>
    </xf>
    <xf numFmtId="0" fontId="0" fillId="0" borderId="4" xfId="0" applyBorder="1" applyAlignment="1">
      <alignment wrapText="1"/>
    </xf>
    <xf numFmtId="8" fontId="10" fillId="9" borderId="6" xfId="0" applyNumberFormat="1" applyFont="1" applyFill="1" applyBorder="1" applyAlignment="1">
      <alignment horizontal="center"/>
    </xf>
    <xf numFmtId="0" fontId="54" fillId="2" borderId="10" xfId="0" applyFont="1" applyFill="1" applyBorder="1" applyAlignment="1">
      <alignment horizontal="left" wrapText="1"/>
    </xf>
    <xf numFmtId="0" fontId="54" fillId="0" borderId="0" xfId="0" applyFont="1" applyAlignment="1">
      <alignment wrapText="1"/>
    </xf>
    <xf numFmtId="0" fontId="79" fillId="0" borderId="32" xfId="0" applyFont="1" applyBorder="1" applyAlignment="1">
      <alignment horizontal="left" vertical="center" wrapText="1"/>
    </xf>
    <xf numFmtId="0" fontId="80" fillId="0" borderId="32" xfId="0" applyFont="1" applyBorder="1" applyAlignment="1">
      <alignment horizontal="left" vertical="center" wrapText="1"/>
    </xf>
    <xf numFmtId="0" fontId="4" fillId="21" borderId="32" xfId="0" applyFont="1" applyFill="1" applyBorder="1" applyAlignment="1">
      <alignment horizontal="left" vertical="center" wrapText="1"/>
    </xf>
    <xf numFmtId="0" fontId="4" fillId="21" borderId="0" xfId="0" applyFont="1" applyFill="1" applyAlignment="1">
      <alignment horizontal="left" vertical="center" wrapText="1"/>
    </xf>
    <xf numFmtId="0" fontId="4" fillId="12" borderId="10" xfId="0" applyFont="1" applyFill="1" applyBorder="1" applyAlignment="1">
      <alignment horizontal="left" wrapText="1"/>
    </xf>
    <xf numFmtId="0" fontId="4" fillId="12" borderId="0" xfId="0" applyFont="1" applyFill="1" applyAlignment="1">
      <alignment wrapText="1"/>
    </xf>
    <xf numFmtId="0" fontId="4" fillId="0" borderId="0" xfId="0" applyFont="1" applyAlignment="1">
      <alignment wrapText="1"/>
    </xf>
    <xf numFmtId="0" fontId="54" fillId="12" borderId="10" xfId="0" applyFont="1" applyFill="1" applyBorder="1" applyAlignment="1">
      <alignment horizontal="left" vertical="center" wrapText="1"/>
    </xf>
    <xf numFmtId="0" fontId="54" fillId="12" borderId="0" xfId="0" applyFont="1" applyFill="1" applyAlignment="1">
      <alignment vertical="center" wrapText="1"/>
    </xf>
    <xf numFmtId="0" fontId="34" fillId="12" borderId="0" xfId="0" applyFont="1" applyFill="1" applyAlignment="1">
      <alignment wrapText="1"/>
    </xf>
    <xf numFmtId="0" fontId="4" fillId="0" borderId="10" xfId="0" applyFont="1" applyBorder="1" applyAlignment="1">
      <alignment horizontal="left" vertical="center" wrapText="1"/>
    </xf>
    <xf numFmtId="0" fontId="10" fillId="0" borderId="0" xfId="0" applyFont="1" applyAlignment="1">
      <alignment wrapText="1"/>
    </xf>
    <xf numFmtId="0" fontId="54" fillId="0" borderId="10" xfId="0" applyFont="1" applyBorder="1" applyAlignment="1">
      <alignment horizontal="left" vertical="center" wrapText="1"/>
    </xf>
    <xf numFmtId="0" fontId="19" fillId="2" borderId="10" xfId="0" applyFont="1" applyFill="1" applyBorder="1" applyAlignment="1">
      <alignment vertical="center" wrapText="1"/>
    </xf>
    <xf numFmtId="0" fontId="2" fillId="0" borderId="0" xfId="0" applyFont="1" applyAlignment="1">
      <alignment vertical="center" wrapText="1"/>
    </xf>
    <xf numFmtId="0" fontId="24" fillId="2" borderId="10" xfId="0" applyFont="1" applyFill="1" applyBorder="1" applyAlignment="1">
      <alignment vertical="center" wrapText="1"/>
    </xf>
    <xf numFmtId="0" fontId="24" fillId="2" borderId="0" xfId="0" applyFont="1" applyFill="1" applyAlignment="1">
      <alignment vertical="center"/>
    </xf>
    <xf numFmtId="0" fontId="37" fillId="0" borderId="10" xfId="0" applyFont="1" applyBorder="1" applyAlignment="1">
      <alignment vertical="center" wrapText="1"/>
    </xf>
    <xf numFmtId="0" fontId="37" fillId="0" borderId="0" xfId="0" applyFont="1" applyAlignment="1">
      <alignment vertical="center" wrapText="1"/>
    </xf>
    <xf numFmtId="0" fontId="37" fillId="12" borderId="10" xfId="0" applyFont="1" applyFill="1" applyBorder="1" applyAlignment="1">
      <alignment vertical="center" wrapText="1"/>
    </xf>
    <xf numFmtId="0" fontId="37" fillId="12" borderId="0" xfId="0" applyFont="1" applyFill="1" applyAlignment="1">
      <alignment vertical="center" wrapText="1"/>
    </xf>
    <xf numFmtId="0" fontId="29" fillId="2" borderId="10" xfId="0" applyFont="1" applyFill="1" applyBorder="1" applyAlignment="1">
      <alignment horizontal="left" vertical="center" wrapText="1"/>
    </xf>
    <xf numFmtId="0" fontId="54" fillId="0" borderId="0" xfId="0" applyFont="1" applyAlignment="1">
      <alignment vertical="center" wrapText="1"/>
    </xf>
    <xf numFmtId="0" fontId="4" fillId="12" borderId="10" xfId="0" applyFont="1" applyFill="1" applyBorder="1" applyAlignment="1">
      <alignment horizontal="left" vertical="center" wrapText="1"/>
    </xf>
    <xf numFmtId="0" fontId="2" fillId="0" borderId="0" xfId="0" applyFont="1" applyAlignment="1">
      <alignment wrapText="1"/>
    </xf>
    <xf numFmtId="0" fontId="4" fillId="12" borderId="67" xfId="0" applyFont="1" applyFill="1" applyBorder="1" applyAlignment="1">
      <alignment horizontal="left" vertical="center" wrapText="1"/>
    </xf>
    <xf numFmtId="0" fontId="4" fillId="0" borderId="0" xfId="0" applyFont="1" applyAlignment="1">
      <alignment vertical="center" wrapText="1"/>
    </xf>
    <xf numFmtId="0" fontId="4" fillId="22" borderId="10" xfId="0" applyFont="1" applyFill="1" applyBorder="1" applyAlignment="1">
      <alignment horizontal="left" wrapText="1"/>
    </xf>
    <xf numFmtId="0" fontId="4" fillId="22" borderId="10" xfId="0" applyFont="1" applyFill="1" applyBorder="1" applyAlignment="1">
      <alignment horizontal="left" vertical="center" wrapText="1"/>
    </xf>
    <xf numFmtId="0" fontId="54" fillId="22" borderId="10" xfId="0" applyFont="1" applyFill="1" applyBorder="1" applyAlignment="1">
      <alignment horizontal="left" vertical="center" wrapText="1"/>
    </xf>
    <xf numFmtId="0" fontId="54" fillId="0" borderId="0" xfId="0" applyFont="1" applyAlignment="1">
      <alignment horizontal="left" vertical="center" wrapText="1"/>
    </xf>
    <xf numFmtId="0" fontId="10" fillId="0" borderId="0" xfId="0" applyFont="1" applyAlignment="1">
      <alignment horizontal="left" vertical="center" wrapText="1"/>
    </xf>
    <xf numFmtId="0" fontId="34" fillId="12" borderId="10" xfId="0" applyFont="1" applyFill="1" applyBorder="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wrapText="1"/>
    </xf>
    <xf numFmtId="0" fontId="4" fillId="2" borderId="10" xfId="0" applyFont="1" applyFill="1" applyBorder="1" applyAlignment="1">
      <alignment horizontal="left" vertical="center" wrapText="1"/>
    </xf>
    <xf numFmtId="0" fontId="54" fillId="12" borderId="67" xfId="0" applyFont="1" applyFill="1" applyBorder="1" applyAlignment="1">
      <alignment horizontal="left" vertical="center" wrapText="1"/>
    </xf>
    <xf numFmtId="0" fontId="34" fillId="2" borderId="10" xfId="0" applyFont="1" applyFill="1" applyBorder="1" applyAlignment="1">
      <alignment vertical="center" wrapText="1"/>
    </xf>
    <xf numFmtId="0" fontId="1" fillId="0" borderId="0" xfId="0" applyFont="1"/>
    <xf numFmtId="0" fontId="100" fillId="19" borderId="10" xfId="0" applyFont="1" applyFill="1" applyBorder="1" applyAlignment="1">
      <alignment horizontal="left" vertical="center" wrapText="1"/>
    </xf>
    <xf numFmtId="0" fontId="101" fillId="19" borderId="0" xfId="0" applyFont="1" applyFill="1" applyAlignment="1">
      <alignment wrapText="1"/>
    </xf>
    <xf numFmtId="0" fontId="87" fillId="0" borderId="10" xfId="0" applyFont="1" applyBorder="1" applyAlignment="1">
      <alignment horizontal="left" vertical="center" wrapText="1"/>
    </xf>
    <xf numFmtId="0" fontId="4" fillId="9" borderId="10" xfId="0" applyFont="1" applyFill="1" applyBorder="1" applyAlignment="1">
      <alignment horizontal="left" vertical="center" wrapText="1"/>
    </xf>
    <xf numFmtId="0" fontId="10" fillId="0" borderId="5" xfId="0" applyFont="1" applyBorder="1" applyAlignment="1">
      <alignment vertical="center" wrapText="1"/>
    </xf>
    <xf numFmtId="0" fontId="10" fillId="0" borderId="19" xfId="0" applyFont="1" applyBorder="1" applyAlignment="1">
      <alignment vertical="center" wrapText="1"/>
    </xf>
    <xf numFmtId="0" fontId="10" fillId="0" borderId="9" xfId="0" applyFont="1" applyBorder="1" applyAlignment="1">
      <alignment vertical="center" wrapText="1"/>
    </xf>
    <xf numFmtId="0" fontId="24" fillId="0" borderId="5" xfId="0" applyFont="1" applyBorder="1" applyAlignment="1">
      <alignment horizontal="left" vertical="center" wrapText="1"/>
    </xf>
    <xf numFmtId="0" fontId="24" fillId="0" borderId="19" xfId="0" applyFont="1" applyBorder="1" applyAlignment="1">
      <alignment horizontal="left" vertical="center" wrapText="1"/>
    </xf>
    <xf numFmtId="0" fontId="24" fillId="0" borderId="9" xfId="0" applyFont="1" applyBorder="1" applyAlignment="1">
      <alignment horizontal="left" vertical="center" wrapText="1"/>
    </xf>
    <xf numFmtId="0" fontId="24" fillId="0" borderId="5" xfId="0" applyFont="1" applyBorder="1" applyAlignment="1">
      <alignment vertical="center" wrapText="1"/>
    </xf>
    <xf numFmtId="0" fontId="24" fillId="0" borderId="19" xfId="0" applyFont="1" applyBorder="1" applyAlignment="1">
      <alignment vertical="center" wrapText="1"/>
    </xf>
    <xf numFmtId="0" fontId="24" fillId="0" borderId="9" xfId="0" applyFont="1" applyBorder="1" applyAlignment="1">
      <alignment vertical="center" wrapText="1"/>
    </xf>
    <xf numFmtId="9" fontId="54" fillId="14" borderId="10" xfId="0" applyNumberFormat="1" applyFont="1" applyFill="1" applyBorder="1" applyAlignment="1">
      <alignment horizontal="left" vertical="center" wrapText="1"/>
    </xf>
    <xf numFmtId="0" fontId="2" fillId="0" borderId="10" xfId="0" applyFont="1" applyBorder="1" applyAlignment="1">
      <alignment horizontal="left" vertical="center" wrapText="1"/>
    </xf>
    <xf numFmtId="0" fontId="0" fillId="0" borderId="0" xfId="0" applyAlignment="1">
      <alignment vertical="center" wrapText="1"/>
    </xf>
    <xf numFmtId="0" fontId="4" fillId="0" borderId="67" xfId="0" applyFont="1" applyBorder="1" applyAlignment="1">
      <alignment horizontal="left" vertical="center" wrapText="1"/>
    </xf>
    <xf numFmtId="0" fontId="4" fillId="14" borderId="10" xfId="0" applyFont="1" applyFill="1" applyBorder="1" applyAlignment="1">
      <alignment horizontal="left" vertical="center" wrapText="1"/>
    </xf>
    <xf numFmtId="0" fontId="29" fillId="2" borderId="10" xfId="0" applyFont="1" applyFill="1" applyBorder="1" applyAlignment="1">
      <alignment vertical="center" wrapText="1"/>
    </xf>
    <xf numFmtId="0" fontId="34" fillId="0" borderId="10" xfId="0" applyFont="1" applyBorder="1" applyAlignment="1">
      <alignment vertical="center" wrapText="1"/>
    </xf>
    <xf numFmtId="0" fontId="1" fillId="12" borderId="10" xfId="0" applyFont="1" applyFill="1" applyBorder="1" applyAlignment="1">
      <alignment horizontal="left" vertical="center" wrapText="1"/>
    </xf>
    <xf numFmtId="0" fontId="1" fillId="12" borderId="0" xfId="0" applyFont="1" applyFill="1" applyAlignment="1">
      <alignment vertical="center" wrapText="1"/>
    </xf>
    <xf numFmtId="0" fontId="31" fillId="3" borderId="5" xfId="0" applyFont="1" applyFill="1" applyBorder="1" applyAlignment="1">
      <alignment wrapText="1"/>
    </xf>
    <xf numFmtId="0" fontId="0" fillId="0" borderId="19" xfId="0" applyBorder="1" applyAlignment="1">
      <alignment wrapText="1"/>
    </xf>
    <xf numFmtId="0" fontId="0" fillId="0" borderId="9" xfId="0" applyBorder="1" applyAlignment="1">
      <alignment wrapText="1"/>
    </xf>
    <xf numFmtId="0" fontId="71" fillId="12" borderId="5" xfId="0" applyFont="1" applyFill="1" applyBorder="1" applyAlignment="1">
      <alignment vertical="center" wrapText="1"/>
    </xf>
    <xf numFmtId="0" fontId="37" fillId="12" borderId="19" xfId="0" applyFont="1" applyFill="1" applyBorder="1" applyAlignment="1">
      <alignment vertical="center" wrapText="1"/>
    </xf>
    <xf numFmtId="0" fontId="37" fillId="12" borderId="9" xfId="0" applyFont="1" applyFill="1" applyBorder="1" applyAlignment="1">
      <alignment vertical="center" wrapText="1"/>
    </xf>
    <xf numFmtId="0" fontId="8" fillId="0" borderId="49" xfId="0" applyFont="1" applyBorder="1" applyAlignment="1">
      <alignment vertical="center" wrapText="1"/>
    </xf>
    <xf numFmtId="0" fontId="1" fillId="2" borderId="7" xfId="0" applyFont="1" applyFill="1" applyBorder="1" applyAlignment="1">
      <alignment vertical="center" wrapText="1"/>
    </xf>
    <xf numFmtId="0" fontId="1" fillId="2" borderId="19" xfId="0" applyFont="1" applyFill="1" applyBorder="1" applyAlignment="1">
      <alignment vertical="center" wrapText="1"/>
    </xf>
    <xf numFmtId="0" fontId="1" fillId="2" borderId="9" xfId="0" applyFont="1" applyFill="1" applyBorder="1" applyAlignment="1">
      <alignment vertical="center" wrapText="1"/>
    </xf>
    <xf numFmtId="0" fontId="8" fillId="2" borderId="5" xfId="0" applyFont="1" applyFill="1" applyBorder="1" applyAlignment="1">
      <alignment vertical="center"/>
    </xf>
    <xf numFmtId="0" fontId="4" fillId="6" borderId="5" xfId="0" applyFont="1" applyFill="1" applyBorder="1" applyAlignment="1">
      <alignment horizontal="left" wrapText="1"/>
    </xf>
    <xf numFmtId="0" fontId="4" fillId="6" borderId="48" xfId="0" applyFont="1" applyFill="1" applyBorder="1" applyAlignment="1">
      <alignment horizontal="left" wrapText="1"/>
    </xf>
    <xf numFmtId="0" fontId="8" fillId="12" borderId="5" xfId="0" applyFont="1" applyFill="1" applyBorder="1" applyAlignment="1">
      <alignment wrapText="1"/>
    </xf>
    <xf numFmtId="0" fontId="37" fillId="12" borderId="19" xfId="0" applyFont="1" applyFill="1" applyBorder="1" applyAlignment="1">
      <alignment wrapText="1"/>
    </xf>
    <xf numFmtId="0" fontId="37" fillId="12" borderId="9" xfId="0" applyFont="1" applyFill="1" applyBorder="1" applyAlignment="1">
      <alignment wrapText="1"/>
    </xf>
    <xf numFmtId="0" fontId="24" fillId="2" borderId="5" xfId="0" applyFont="1" applyFill="1" applyBorder="1" applyAlignment="1">
      <alignment wrapText="1"/>
    </xf>
    <xf numFmtId="0" fontId="8" fillId="12" borderId="19" xfId="0" applyFont="1" applyFill="1" applyBorder="1"/>
    <xf numFmtId="0" fontId="8" fillId="12" borderId="9" xfId="0" applyFont="1" applyFill="1" applyBorder="1"/>
    <xf numFmtId="0" fontId="8" fillId="12" borderId="19" xfId="0" applyFont="1" applyFill="1" applyBorder="1" applyAlignment="1">
      <alignment vertical="center"/>
    </xf>
    <xf numFmtId="0" fontId="8" fillId="12" borderId="9" xfId="0" applyFont="1" applyFill="1" applyBorder="1" applyAlignment="1">
      <alignment vertical="center"/>
    </xf>
    <xf numFmtId="0" fontId="1" fillId="0" borderId="7" xfId="0" applyFont="1" applyBorder="1" applyAlignment="1">
      <alignment vertical="center"/>
    </xf>
    <xf numFmtId="0" fontId="8" fillId="2" borderId="5" xfId="0" applyFont="1" applyFill="1" applyBorder="1" applyAlignment="1">
      <alignment wrapText="1"/>
    </xf>
    <xf numFmtId="0" fontId="8" fillId="2" borderId="19" xfId="0" applyFont="1" applyFill="1" applyBorder="1"/>
    <xf numFmtId="0" fontId="8" fillId="2" borderId="9" xfId="0" applyFont="1" applyFill="1" applyBorder="1"/>
    <xf numFmtId="0" fontId="8" fillId="0" borderId="5" xfId="0" applyFont="1" applyBorder="1" applyAlignment="1">
      <alignment horizontal="left" wrapText="1"/>
    </xf>
    <xf numFmtId="0" fontId="8" fillId="0" borderId="19" xfId="0" applyFont="1" applyBorder="1" applyAlignment="1">
      <alignment horizontal="left" wrapText="1"/>
    </xf>
    <xf numFmtId="0" fontId="8" fillId="0" borderId="9" xfId="0" applyFont="1" applyBorder="1" applyAlignment="1">
      <alignment horizontal="left" wrapText="1"/>
    </xf>
    <xf numFmtId="0" fontId="10" fillId="12" borderId="5" xfId="0" applyFont="1" applyFill="1" applyBorder="1" applyAlignment="1">
      <alignment wrapText="1"/>
    </xf>
    <xf numFmtId="0" fontId="10" fillId="12" borderId="19" xfId="0" applyFont="1" applyFill="1" applyBorder="1" applyAlignment="1">
      <alignment wrapText="1"/>
    </xf>
    <xf numFmtId="0" fontId="10" fillId="12" borderId="9" xfId="0" applyFont="1" applyFill="1" applyBorder="1" applyAlignment="1">
      <alignment wrapText="1"/>
    </xf>
    <xf numFmtId="0" fontId="8" fillId="2" borderId="19" xfId="0" applyFont="1" applyFill="1" applyBorder="1" applyAlignment="1">
      <alignment wrapText="1"/>
    </xf>
    <xf numFmtId="0" fontId="8" fillId="2" borderId="9" xfId="0" applyFont="1" applyFill="1" applyBorder="1" applyAlignment="1">
      <alignment wrapText="1"/>
    </xf>
    <xf numFmtId="0" fontId="37" fillId="0" borderId="19" xfId="0" applyFont="1" applyBorder="1" applyAlignment="1">
      <alignment vertical="center"/>
    </xf>
    <xf numFmtId="0" fontId="37" fillId="0" borderId="9" xfId="0" applyFont="1" applyBorder="1" applyAlignment="1">
      <alignment vertical="center"/>
    </xf>
    <xf numFmtId="0" fontId="37" fillId="0" borderId="5" xfId="0" applyFont="1" applyBorder="1" applyAlignment="1">
      <alignment wrapText="1"/>
    </xf>
    <xf numFmtId="0" fontId="42" fillId="0" borderId="19" xfId="0" applyFont="1" applyBorder="1" applyAlignment="1">
      <alignment wrapText="1"/>
    </xf>
    <xf numFmtId="0" fontId="42" fillId="0" borderId="9" xfId="0" applyFont="1" applyBorder="1" applyAlignment="1">
      <alignment wrapText="1"/>
    </xf>
    <xf numFmtId="0" fontId="8" fillId="20" borderId="5" xfId="0" applyFont="1" applyFill="1" applyBorder="1" applyAlignment="1">
      <alignment wrapText="1"/>
    </xf>
    <xf numFmtId="0" fontId="8" fillId="20" borderId="19" xfId="0" applyFont="1" applyFill="1" applyBorder="1" applyAlignment="1">
      <alignment wrapText="1"/>
    </xf>
    <xf numFmtId="0" fontId="8" fillId="20" borderId="9" xfId="0" applyFont="1" applyFill="1" applyBorder="1" applyAlignment="1">
      <alignment wrapText="1"/>
    </xf>
    <xf numFmtId="0" fontId="42" fillId="0" borderId="19" xfId="0" applyFont="1" applyBorder="1" applyAlignment="1">
      <alignment vertical="center" wrapText="1"/>
    </xf>
    <xf numFmtId="0" fontId="42" fillId="0" borderId="9" xfId="0" applyFont="1" applyBorder="1" applyAlignment="1">
      <alignment vertical="center" wrapText="1"/>
    </xf>
    <xf numFmtId="0" fontId="37" fillId="12" borderId="5" xfId="0" applyFont="1" applyFill="1" applyBorder="1" applyAlignment="1">
      <alignment wrapText="1"/>
    </xf>
    <xf numFmtId="0" fontId="4" fillId="7" borderId="5" xfId="0" applyFont="1" applyFill="1" applyBorder="1" applyAlignment="1">
      <alignment horizontal="center" wrapText="1"/>
    </xf>
    <xf numFmtId="0" fontId="4" fillId="0" borderId="9" xfId="0" applyFont="1" applyBorder="1"/>
    <xf numFmtId="49" fontId="1" fillId="0" borderId="5" xfId="0" applyNumberFormat="1" applyFont="1" applyBorder="1" applyAlignment="1">
      <alignment vertical="center" wrapText="1"/>
    </xf>
    <xf numFmtId="49" fontId="0" fillId="0" borderId="19" xfId="0" applyNumberFormat="1" applyBorder="1" applyAlignment="1">
      <alignment vertical="center" wrapText="1"/>
    </xf>
    <xf numFmtId="49" fontId="0" fillId="0" borderId="9" xfId="0" applyNumberFormat="1" applyBorder="1" applyAlignment="1">
      <alignment vertical="center" wrapText="1"/>
    </xf>
    <xf numFmtId="0" fontId="8" fillId="12" borderId="19" xfId="0" applyFont="1" applyFill="1" applyBorder="1" applyAlignment="1">
      <alignment wrapText="1"/>
    </xf>
    <xf numFmtId="0" fontId="8" fillId="12" borderId="9" xfId="0" applyFont="1" applyFill="1" applyBorder="1" applyAlignment="1">
      <alignment wrapText="1"/>
    </xf>
    <xf numFmtId="0" fontId="4" fillId="7" borderId="5" xfId="0" applyFont="1" applyFill="1" applyBorder="1" applyAlignment="1">
      <alignment horizontal="center"/>
    </xf>
    <xf numFmtId="0" fontId="4" fillId="7" borderId="19" xfId="0" applyFont="1" applyFill="1" applyBorder="1" applyAlignment="1">
      <alignment horizontal="center"/>
    </xf>
    <xf numFmtId="0" fontId="4" fillId="7" borderId="9" xfId="0" applyFont="1" applyFill="1" applyBorder="1" applyAlignment="1">
      <alignment horizontal="center"/>
    </xf>
    <xf numFmtId="0" fontId="10" fillId="31" borderId="5" xfId="0" applyFont="1" applyFill="1" applyBorder="1" applyAlignment="1">
      <alignment vertical="center" wrapText="1"/>
    </xf>
    <xf numFmtId="0" fontId="10" fillId="31" borderId="19" xfId="0" applyFont="1" applyFill="1" applyBorder="1" applyAlignment="1">
      <alignment vertical="center" wrapText="1"/>
    </xf>
    <xf numFmtId="0" fontId="10" fillId="31" borderId="9" xfId="0" applyFont="1" applyFill="1" applyBorder="1" applyAlignment="1">
      <alignment vertical="center" wrapText="1"/>
    </xf>
    <xf numFmtId="49" fontId="8" fillId="12" borderId="5" xfId="0" applyNumberFormat="1" applyFont="1" applyFill="1" applyBorder="1" applyAlignment="1">
      <alignment vertical="center" wrapText="1"/>
    </xf>
    <xf numFmtId="49" fontId="8" fillId="12" borderId="19" xfId="0" applyNumberFormat="1" applyFont="1" applyFill="1" applyBorder="1" applyAlignment="1">
      <alignment vertical="center" wrapText="1"/>
    </xf>
    <xf numFmtId="49" fontId="8" fillId="12" borderId="9" xfId="0" applyNumberFormat="1" applyFont="1" applyFill="1" applyBorder="1" applyAlignment="1">
      <alignment vertical="center" wrapText="1"/>
    </xf>
    <xf numFmtId="0" fontId="70" fillId="2" borderId="5" xfId="0" applyFont="1" applyFill="1" applyBorder="1" applyAlignment="1">
      <alignment vertical="center" wrapText="1"/>
    </xf>
    <xf numFmtId="49" fontId="8" fillId="0" borderId="5" xfId="0" applyNumberFormat="1" applyFont="1" applyBorder="1" applyAlignment="1">
      <alignment vertical="center" wrapText="1"/>
    </xf>
    <xf numFmtId="49" fontId="8" fillId="0" borderId="19" xfId="0" applyNumberFormat="1" applyFont="1" applyBorder="1" applyAlignment="1">
      <alignment vertical="center" wrapText="1"/>
    </xf>
    <xf numFmtId="49" fontId="8" fillId="0" borderId="9" xfId="0" applyNumberFormat="1" applyFont="1" applyBorder="1" applyAlignment="1">
      <alignment vertical="center" wrapText="1"/>
    </xf>
    <xf numFmtId="0" fontId="36" fillId="0" borderId="19" xfId="0" applyFont="1" applyBorder="1" applyAlignment="1">
      <alignment vertical="center" wrapText="1"/>
    </xf>
    <xf numFmtId="0" fontId="36" fillId="0" borderId="9" xfId="0" applyFont="1" applyBorder="1" applyAlignment="1">
      <alignment vertical="center" wrapText="1"/>
    </xf>
    <xf numFmtId="49" fontId="10" fillId="0" borderId="5" xfId="0" applyNumberFormat="1" applyFont="1" applyBorder="1" applyAlignment="1">
      <alignment vertical="center" wrapText="1"/>
    </xf>
    <xf numFmtId="49" fontId="10" fillId="0" borderId="19" xfId="0" applyNumberFormat="1" applyFont="1" applyBorder="1" applyAlignment="1">
      <alignment vertical="center" wrapText="1"/>
    </xf>
    <xf numFmtId="49" fontId="10" fillId="0" borderId="9" xfId="0" applyNumberFormat="1" applyFont="1" applyBorder="1" applyAlignment="1">
      <alignment vertical="center" wrapText="1"/>
    </xf>
    <xf numFmtId="10" fontId="16" fillId="16" borderId="5" xfId="0" applyNumberFormat="1" applyFont="1" applyFill="1" applyBorder="1"/>
    <xf numFmtId="0" fontId="0" fillId="16" borderId="19" xfId="0" applyFill="1" applyBorder="1"/>
    <xf numFmtId="0" fontId="0" fillId="16" borderId="9" xfId="0" applyFill="1" applyBorder="1"/>
    <xf numFmtId="10" fontId="11" fillId="28" borderId="5" xfId="0" applyNumberFormat="1" applyFont="1" applyFill="1" applyBorder="1" applyAlignment="1">
      <alignment horizontal="center"/>
    </xf>
    <xf numFmtId="0" fontId="0" fillId="28" borderId="19" xfId="0" applyFill="1" applyBorder="1"/>
    <xf numFmtId="0" fontId="0" fillId="28" borderId="9" xfId="0" applyFill="1" applyBorder="1"/>
    <xf numFmtId="49" fontId="37" fillId="12" borderId="5" xfId="0" applyNumberFormat="1" applyFont="1" applyFill="1" applyBorder="1" applyAlignment="1">
      <alignment vertical="center" wrapText="1"/>
    </xf>
    <xf numFmtId="0" fontId="1" fillId="0" borderId="19" xfId="0" applyFont="1" applyBorder="1" applyAlignment="1">
      <alignment vertical="center" wrapText="1"/>
    </xf>
    <xf numFmtId="0" fontId="1" fillId="0" borderId="9" xfId="0" applyFont="1" applyBorder="1" applyAlignment="1">
      <alignment vertical="center" wrapText="1"/>
    </xf>
    <xf numFmtId="0" fontId="19" fillId="6" borderId="5" xfId="0" applyFont="1" applyFill="1" applyBorder="1" applyAlignment="1">
      <alignment horizontal="left" wrapText="1"/>
    </xf>
    <xf numFmtId="0" fontId="8" fillId="0" borderId="9" xfId="0" applyFont="1" applyBorder="1"/>
    <xf numFmtId="0" fontId="4" fillId="3" borderId="5" xfId="0" applyFont="1" applyFill="1" applyBorder="1" applyAlignment="1">
      <alignment horizontal="left" wrapText="1"/>
    </xf>
    <xf numFmtId="0" fontId="4" fillId="3" borderId="9" xfId="0" applyFont="1" applyFill="1" applyBorder="1" applyAlignment="1">
      <alignment horizontal="left" wrapText="1"/>
    </xf>
    <xf numFmtId="0" fontId="0" fillId="3" borderId="9" xfId="0" applyFill="1" applyBorder="1"/>
    <xf numFmtId="0" fontId="10" fillId="7" borderId="19" xfId="0" applyFont="1" applyFill="1" applyBorder="1"/>
    <xf numFmtId="0" fontId="10" fillId="7" borderId="9" xfId="0" applyFont="1" applyFill="1" applyBorder="1"/>
    <xf numFmtId="0" fontId="19" fillId="2" borderId="5" xfId="0" applyFont="1" applyFill="1" applyBorder="1" applyAlignment="1">
      <alignment vertical="center" wrapText="1"/>
    </xf>
    <xf numFmtId="0" fontId="19" fillId="2" borderId="19" xfId="0" applyFont="1" applyFill="1" applyBorder="1" applyAlignment="1">
      <alignment vertical="center" wrapText="1"/>
    </xf>
    <xf numFmtId="0" fontId="19" fillId="2" borderId="9" xfId="0" applyFont="1" applyFill="1" applyBorder="1" applyAlignment="1">
      <alignment vertical="center" wrapText="1"/>
    </xf>
    <xf numFmtId="0" fontId="8" fillId="0" borderId="5" xfId="0" applyFont="1" applyBorder="1" applyAlignment="1">
      <alignment horizontal="left" vertical="center" wrapText="1"/>
    </xf>
    <xf numFmtId="0" fontId="19" fillId="0" borderId="19" xfId="0" applyFont="1" applyBorder="1" applyAlignment="1">
      <alignment horizontal="left" vertical="center" wrapText="1"/>
    </xf>
    <xf numFmtId="0" fontId="19" fillId="0" borderId="9" xfId="0" applyFont="1" applyBorder="1" applyAlignment="1">
      <alignment horizontal="left" vertical="center" wrapText="1"/>
    </xf>
    <xf numFmtId="0" fontId="43" fillId="2" borderId="5" xfId="0" applyFont="1" applyFill="1" applyBorder="1" applyAlignment="1">
      <alignment vertical="center" wrapText="1"/>
    </xf>
    <xf numFmtId="0" fontId="43" fillId="2" borderId="19" xfId="0" applyFont="1" applyFill="1" applyBorder="1" applyAlignment="1">
      <alignment vertical="center" wrapText="1"/>
    </xf>
    <xf numFmtId="0" fontId="43" fillId="2" borderId="9" xfId="0" applyFont="1" applyFill="1" applyBorder="1" applyAlignment="1">
      <alignment vertical="center" wrapText="1"/>
    </xf>
    <xf numFmtId="0" fontId="4" fillId="7" borderId="14" xfId="0" applyFont="1" applyFill="1" applyBorder="1" applyAlignment="1">
      <alignment horizontal="center" wrapText="1"/>
    </xf>
    <xf numFmtId="0" fontId="0" fillId="0" borderId="27" xfId="0" applyBorder="1"/>
    <xf numFmtId="0" fontId="20" fillId="7" borderId="5" xfId="0" applyFont="1" applyFill="1" applyBorder="1" applyAlignment="1">
      <alignment horizontal="center" wrapText="1"/>
    </xf>
    <xf numFmtId="0" fontId="0" fillId="0" borderId="9" xfId="0" applyBorder="1"/>
    <xf numFmtId="0" fontId="4" fillId="7" borderId="14" xfId="0" applyFont="1" applyFill="1" applyBorder="1" applyAlignment="1">
      <alignment horizontal="center"/>
    </xf>
    <xf numFmtId="0" fontId="10" fillId="7" borderId="1" xfId="0" applyFont="1" applyFill="1" applyBorder="1"/>
    <xf numFmtId="0" fontId="10" fillId="7" borderId="27" xfId="0" applyFont="1" applyFill="1" applyBorder="1"/>
    <xf numFmtId="0" fontId="1" fillId="2" borderId="5" xfId="0" applyFont="1" applyFill="1" applyBorder="1" applyAlignment="1">
      <alignment vertical="center"/>
    </xf>
    <xf numFmtId="0" fontId="1" fillId="2" borderId="19" xfId="0" applyFont="1" applyFill="1" applyBorder="1" applyAlignment="1">
      <alignment vertical="center"/>
    </xf>
    <xf numFmtId="0" fontId="1" fillId="2" borderId="9" xfId="0" applyFont="1" applyFill="1" applyBorder="1" applyAlignment="1">
      <alignment vertical="center"/>
    </xf>
    <xf numFmtId="0" fontId="4" fillId="2" borderId="5" xfId="0" applyFont="1" applyFill="1" applyBorder="1" applyAlignment="1">
      <alignment vertical="center"/>
    </xf>
    <xf numFmtId="0" fontId="2" fillId="0" borderId="19" xfId="0" applyFont="1" applyBorder="1" applyAlignment="1">
      <alignment vertical="center"/>
    </xf>
    <xf numFmtId="0" fontId="2" fillId="0" borderId="9" xfId="0" applyFont="1" applyBorder="1" applyAlignment="1">
      <alignment vertical="center"/>
    </xf>
    <xf numFmtId="0" fontId="1" fillId="2" borderId="5" xfId="0" applyFont="1" applyFill="1" applyBorder="1" applyAlignment="1">
      <alignment vertical="center" wrapText="1"/>
    </xf>
    <xf numFmtId="0" fontId="37" fillId="2" borderId="5" xfId="0" applyFont="1" applyFill="1" applyBorder="1" applyAlignment="1">
      <alignment vertical="center" wrapText="1"/>
    </xf>
    <xf numFmtId="0" fontId="37" fillId="2" borderId="19" xfId="0" applyFont="1" applyFill="1" applyBorder="1" applyAlignment="1">
      <alignment vertical="center" wrapText="1"/>
    </xf>
    <xf numFmtId="0" fontId="37" fillId="2" borderId="9" xfId="0" applyFont="1" applyFill="1" applyBorder="1" applyAlignment="1">
      <alignment vertical="center" wrapText="1"/>
    </xf>
    <xf numFmtId="0" fontId="24" fillId="7" borderId="41" xfId="0" applyFont="1" applyFill="1" applyBorder="1" applyAlignment="1">
      <alignment vertical="center" wrapText="1"/>
    </xf>
    <xf numFmtId="0" fontId="24" fillId="7" borderId="42" xfId="0" applyFont="1" applyFill="1" applyBorder="1" applyAlignment="1">
      <alignment vertical="center" wrapText="1"/>
    </xf>
    <xf numFmtId="0" fontId="24" fillId="7" borderId="43" xfId="0" applyFont="1" applyFill="1" applyBorder="1" applyAlignment="1">
      <alignment vertical="center" wrapText="1"/>
    </xf>
    <xf numFmtId="0" fontId="8" fillId="0" borderId="44" xfId="0" applyFont="1" applyBorder="1" applyAlignment="1">
      <alignment vertical="center" wrapText="1"/>
    </xf>
    <xf numFmtId="0" fontId="24" fillId="12" borderId="73" xfId="0" applyFont="1" applyFill="1" applyBorder="1" applyAlignment="1">
      <alignment vertical="center" wrapText="1"/>
    </xf>
    <xf numFmtId="0" fontId="1" fillId="12" borderId="74" xfId="0" applyFont="1" applyFill="1" applyBorder="1" applyAlignment="1">
      <alignment vertical="center" wrapText="1"/>
    </xf>
    <xf numFmtId="0" fontId="1" fillId="12" borderId="75" xfId="0" applyFont="1" applyFill="1" applyBorder="1" applyAlignment="1">
      <alignment vertical="center" wrapText="1"/>
    </xf>
    <xf numFmtId="0" fontId="2" fillId="7" borderId="17" xfId="0" applyFont="1" applyFill="1" applyBorder="1" applyAlignment="1">
      <alignment wrapText="1"/>
    </xf>
    <xf numFmtId="0" fontId="2" fillId="7" borderId="52" xfId="0" applyFont="1" applyFill="1" applyBorder="1" applyAlignment="1">
      <alignment wrapText="1"/>
    </xf>
    <xf numFmtId="0" fontId="2" fillId="7" borderId="46" xfId="0" applyFont="1" applyFill="1" applyBorder="1" applyAlignment="1">
      <alignment wrapText="1"/>
    </xf>
    <xf numFmtId="0" fontId="8" fillId="2" borderId="7" xfId="0" applyFont="1" applyFill="1" applyBorder="1" applyAlignment="1">
      <alignment vertical="center" wrapText="1"/>
    </xf>
    <xf numFmtId="0" fontId="42" fillId="0" borderId="45" xfId="0" applyFont="1" applyBorder="1" applyAlignment="1">
      <alignment vertical="center" wrapText="1"/>
    </xf>
    <xf numFmtId="0" fontId="42" fillId="0" borderId="15" xfId="0" applyFont="1" applyBorder="1" applyAlignment="1">
      <alignment vertical="center" wrapText="1"/>
    </xf>
    <xf numFmtId="0" fontId="10" fillId="0" borderId="47" xfId="0" applyFont="1" applyBorder="1" applyAlignment="1">
      <alignment wrapText="1"/>
    </xf>
    <xf numFmtId="0" fontId="1" fillId="9" borderId="16" xfId="0" applyFont="1" applyFill="1" applyBorder="1" applyAlignment="1">
      <alignment horizontal="center"/>
    </xf>
    <xf numFmtId="0" fontId="27" fillId="12" borderId="6" xfId="0" applyFont="1" applyFill="1" applyBorder="1" applyAlignment="1">
      <alignment horizontal="left" wrapText="1"/>
    </xf>
    <xf numFmtId="0" fontId="0" fillId="12" borderId="16" xfId="0" applyFill="1" applyBorder="1" applyAlignment="1">
      <alignment horizontal="left" wrapText="1"/>
    </xf>
    <xf numFmtId="0" fontId="0" fillId="12" borderId="4" xfId="0" applyFill="1" applyBorder="1" applyAlignment="1">
      <alignment horizontal="left" wrapText="1"/>
    </xf>
    <xf numFmtId="4" fontId="10" fillId="12" borderId="6" xfId="0" applyNumberFormat="1" applyFont="1" applyFill="1" applyBorder="1" applyAlignment="1">
      <alignment horizontal="center"/>
    </xf>
    <xf numFmtId="0" fontId="0" fillId="12" borderId="16" xfId="0" applyFill="1" applyBorder="1" applyAlignment="1">
      <alignment horizontal="center"/>
    </xf>
    <xf numFmtId="0" fontId="0" fillId="12" borderId="4" xfId="0" applyFill="1" applyBorder="1" applyAlignment="1">
      <alignment horizontal="center"/>
    </xf>
    <xf numFmtId="0" fontId="0" fillId="9" borderId="16" xfId="0" applyFill="1" applyBorder="1" applyAlignment="1">
      <alignment horizontal="center"/>
    </xf>
    <xf numFmtId="0" fontId="0" fillId="9" borderId="4" xfId="0" applyFill="1" applyBorder="1" applyAlignment="1">
      <alignment horizontal="center"/>
    </xf>
    <xf numFmtId="0" fontId="4" fillId="7" borderId="17" xfId="0" applyFont="1" applyFill="1" applyBorder="1" applyAlignment="1">
      <alignment horizontal="left" wrapText="1"/>
    </xf>
    <xf numFmtId="0" fontId="4" fillId="7" borderId="46" xfId="0" applyFont="1" applyFill="1" applyBorder="1" applyAlignment="1">
      <alignment horizontal="left" wrapText="1"/>
    </xf>
    <xf numFmtId="0" fontId="4" fillId="3" borderId="5" xfId="0" applyFont="1" applyFill="1" applyBorder="1" applyAlignment="1">
      <alignment horizontal="center" wrapText="1"/>
    </xf>
    <xf numFmtId="0" fontId="12" fillId="0" borderId="0" xfId="0" applyFont="1" applyAlignment="1">
      <alignment horizontal="center"/>
    </xf>
    <xf numFmtId="0" fontId="4" fillId="7" borderId="5" xfId="0" applyFont="1" applyFill="1" applyBorder="1" applyAlignment="1">
      <alignment horizontal="center" vertical="center"/>
    </xf>
    <xf numFmtId="0" fontId="4" fillId="7" borderId="19" xfId="0" applyFont="1" applyFill="1" applyBorder="1" applyAlignment="1">
      <alignment horizontal="center" vertical="center"/>
    </xf>
    <xf numFmtId="0" fontId="4" fillId="7" borderId="9" xfId="0" applyFont="1" applyFill="1" applyBorder="1" applyAlignment="1">
      <alignment horizontal="center" vertical="center"/>
    </xf>
    <xf numFmtId="0" fontId="10" fillId="3" borderId="5" xfId="0" applyFont="1" applyFill="1" applyBorder="1" applyAlignment="1">
      <alignment wrapText="1"/>
    </xf>
    <xf numFmtId="0" fontId="10" fillId="3" borderId="19" xfId="0" applyFont="1" applyFill="1" applyBorder="1" applyAlignment="1">
      <alignment wrapText="1"/>
    </xf>
    <xf numFmtId="0" fontId="10" fillId="3" borderId="9" xfId="0" applyFont="1" applyFill="1" applyBorder="1" applyAlignment="1">
      <alignment wrapText="1"/>
    </xf>
    <xf numFmtId="0" fontId="13" fillId="2" borderId="1" xfId="0" applyFont="1" applyFill="1" applyBorder="1" applyAlignment="1">
      <alignment horizontal="center"/>
    </xf>
    <xf numFmtId="0" fontId="0" fillId="0" borderId="1" xfId="0" applyBorder="1" applyAlignment="1">
      <alignment horizontal="center"/>
    </xf>
    <xf numFmtId="0" fontId="10" fillId="12" borderId="14" xfId="0" applyFont="1" applyFill="1" applyBorder="1" applyAlignment="1">
      <alignment vertical="center" wrapText="1"/>
    </xf>
    <xf numFmtId="0" fontId="10" fillId="12" borderId="1" xfId="0" applyFont="1" applyFill="1" applyBorder="1" applyAlignment="1">
      <alignment vertical="center" wrapText="1"/>
    </xf>
    <xf numFmtId="0" fontId="10" fillId="12" borderId="27" xfId="0" applyFont="1" applyFill="1" applyBorder="1" applyAlignment="1">
      <alignment vertical="center" wrapText="1"/>
    </xf>
    <xf numFmtId="0" fontId="37" fillId="12" borderId="14" xfId="0" applyFont="1" applyFill="1" applyBorder="1" applyAlignment="1">
      <alignment vertical="center" wrapText="1"/>
    </xf>
    <xf numFmtId="0" fontId="37" fillId="12" borderId="1" xfId="0" applyFont="1" applyFill="1" applyBorder="1" applyAlignment="1">
      <alignment vertical="center" wrapText="1"/>
    </xf>
    <xf numFmtId="0" fontId="37" fillId="12" borderId="27" xfId="0" applyFont="1" applyFill="1" applyBorder="1" applyAlignment="1">
      <alignment vertical="center" wrapText="1"/>
    </xf>
    <xf numFmtId="0" fontId="19" fillId="7" borderId="8" xfId="0" applyFont="1" applyFill="1" applyBorder="1" applyAlignment="1">
      <alignment horizontal="left" vertical="center" wrapText="1"/>
    </xf>
    <xf numFmtId="0" fontId="8" fillId="7" borderId="8" xfId="0" applyFont="1" applyFill="1" applyBorder="1" applyAlignment="1">
      <alignment vertical="center" wrapText="1"/>
    </xf>
    <xf numFmtId="10" fontId="4" fillId="6" borderId="7" xfId="0" applyNumberFormat="1" applyFont="1" applyFill="1" applyBorder="1" applyAlignment="1">
      <alignment horizontal="left"/>
    </xf>
    <xf numFmtId="10" fontId="4" fillId="6" borderId="45" xfId="0" applyNumberFormat="1" applyFont="1" applyFill="1" applyBorder="1" applyAlignment="1">
      <alignment horizontal="left"/>
    </xf>
    <xf numFmtId="10" fontId="4" fillId="6" borderId="15" xfId="0" applyNumberFormat="1" applyFont="1" applyFill="1" applyBorder="1" applyAlignment="1">
      <alignment horizontal="left"/>
    </xf>
    <xf numFmtId="0" fontId="8" fillId="12" borderId="45" xfId="0" applyFont="1" applyFill="1" applyBorder="1" applyAlignment="1">
      <alignment vertical="center" wrapText="1"/>
    </xf>
    <xf numFmtId="0" fontId="8" fillId="0" borderId="45" xfId="0" applyFont="1" applyBorder="1" applyAlignment="1">
      <alignment vertical="center" wrapText="1"/>
    </xf>
    <xf numFmtId="0" fontId="33" fillId="12" borderId="45" xfId="0" applyFont="1" applyFill="1" applyBorder="1" applyAlignment="1">
      <alignment vertical="center" wrapText="1"/>
    </xf>
    <xf numFmtId="0" fontId="24" fillId="2" borderId="5" xfId="0" applyFont="1" applyFill="1" applyBorder="1" applyAlignment="1">
      <alignment vertical="center"/>
    </xf>
    <xf numFmtId="0" fontId="24" fillId="2" borderId="19" xfId="0" applyFont="1" applyFill="1" applyBorder="1" applyAlignment="1">
      <alignment vertical="center"/>
    </xf>
    <xf numFmtId="0" fontId="24" fillId="2" borderId="9" xfId="0" applyFont="1" applyFill="1" applyBorder="1" applyAlignment="1">
      <alignment vertical="center"/>
    </xf>
    <xf numFmtId="0" fontId="8" fillId="0" borderId="76" xfId="0" applyFont="1" applyBorder="1" applyAlignment="1">
      <alignment vertical="center" wrapText="1"/>
    </xf>
    <xf numFmtId="0" fontId="8" fillId="0" borderId="50" xfId="0" applyFont="1" applyBorder="1" applyAlignment="1">
      <alignment vertical="center"/>
    </xf>
    <xf numFmtId="0" fontId="8" fillId="0" borderId="51" xfId="0" applyFont="1" applyBorder="1" applyAlignment="1">
      <alignment vertical="center"/>
    </xf>
    <xf numFmtId="0" fontId="24" fillId="2" borderId="5" xfId="0" applyFont="1" applyFill="1" applyBorder="1" applyAlignment="1">
      <alignment vertical="center" wrapText="1"/>
    </xf>
    <xf numFmtId="0" fontId="24" fillId="2" borderId="19" xfId="0" applyFont="1" applyFill="1" applyBorder="1" applyAlignment="1">
      <alignment vertical="center" wrapText="1"/>
    </xf>
    <xf numFmtId="0" fontId="24" fillId="2" borderId="9" xfId="0" applyFont="1" applyFill="1" applyBorder="1" applyAlignment="1">
      <alignment vertical="center" wrapText="1"/>
    </xf>
    <xf numFmtId="0" fontId="43" fillId="12" borderId="77" xfId="0" applyFont="1" applyFill="1" applyBorder="1" applyAlignment="1">
      <alignment vertical="center" wrapText="1"/>
    </xf>
    <xf numFmtId="0" fontId="10" fillId="12" borderId="54" xfId="0" applyFont="1" applyFill="1" applyBorder="1" applyAlignment="1">
      <alignment vertical="center" wrapText="1"/>
    </xf>
    <xf numFmtId="0" fontId="10" fillId="12" borderId="55" xfId="0" applyFont="1" applyFill="1" applyBorder="1" applyAlignment="1">
      <alignment vertical="center" wrapText="1"/>
    </xf>
    <xf numFmtId="0" fontId="4" fillId="6" borderId="5" xfId="0" applyFont="1" applyFill="1" applyBorder="1" applyAlignment="1">
      <alignment horizontal="center" wrapText="1"/>
    </xf>
    <xf numFmtId="0" fontId="0" fillId="6" borderId="9" xfId="0" applyFill="1" applyBorder="1"/>
    <xf numFmtId="10" fontId="4" fillId="3" borderId="14" xfId="0" applyNumberFormat="1" applyFont="1" applyFill="1" applyBorder="1" applyAlignment="1">
      <alignment horizontal="left"/>
    </xf>
    <xf numFmtId="0" fontId="0" fillId="3" borderId="1" xfId="0" applyFill="1" applyBorder="1" applyAlignment="1">
      <alignment horizontal="left"/>
    </xf>
    <xf numFmtId="0" fontId="0" fillId="3" borderId="27" xfId="0" applyFill="1" applyBorder="1" applyAlignment="1">
      <alignment horizontal="left"/>
    </xf>
    <xf numFmtId="0" fontId="88" fillId="4" borderId="39" xfId="0" applyFont="1" applyFill="1" applyBorder="1" applyAlignment="1">
      <alignment vertical="center" wrapText="1"/>
    </xf>
    <xf numFmtId="0" fontId="88" fillId="0" borderId="37" xfId="0" applyFont="1" applyBorder="1" applyAlignment="1">
      <alignment vertical="center" wrapText="1"/>
    </xf>
    <xf numFmtId="0" fontId="88" fillId="0" borderId="63" xfId="0" applyFont="1" applyBorder="1" applyAlignment="1">
      <alignment vertical="center" wrapText="1"/>
    </xf>
    <xf numFmtId="0" fontId="88" fillId="0" borderId="40" xfId="0" applyFont="1" applyBorder="1" applyAlignment="1">
      <alignment vertical="center" wrapText="1"/>
    </xf>
    <xf numFmtId="0" fontId="88" fillId="0" borderId="38" xfId="0" applyFont="1" applyBorder="1" applyAlignment="1">
      <alignment vertical="center" wrapText="1"/>
    </xf>
    <xf numFmtId="0" fontId="88" fillId="0" borderId="60" xfId="0" applyFont="1" applyBorder="1" applyAlignment="1">
      <alignment vertical="center" wrapText="1"/>
    </xf>
    <xf numFmtId="0" fontId="4" fillId="7" borderId="8" xfId="0" applyFont="1" applyFill="1" applyBorder="1" applyAlignment="1">
      <alignment horizontal="center"/>
    </xf>
    <xf numFmtId="0" fontId="0" fillId="0" borderId="8" xfId="0" applyBorder="1"/>
    <xf numFmtId="0" fontId="19" fillId="12" borderId="5" xfId="0" applyFont="1" applyFill="1" applyBorder="1" applyAlignment="1">
      <alignment vertical="center" wrapText="1"/>
    </xf>
    <xf numFmtId="0" fontId="70" fillId="2" borderId="19" xfId="0" applyFont="1" applyFill="1" applyBorder="1" applyAlignment="1">
      <alignment vertical="center" wrapText="1"/>
    </xf>
    <xf numFmtId="0" fontId="70" fillId="2" borderId="9" xfId="0" applyFont="1" applyFill="1" applyBorder="1" applyAlignment="1">
      <alignment vertical="center" wrapText="1"/>
    </xf>
    <xf numFmtId="0" fontId="86" fillId="12" borderId="9" xfId="0" applyFont="1" applyFill="1" applyBorder="1" applyAlignment="1">
      <alignment vertical="center" wrapText="1"/>
    </xf>
    <xf numFmtId="0" fontId="65" fillId="12" borderId="2" xfId="0" applyFont="1" applyFill="1" applyBorder="1" applyAlignment="1">
      <alignment vertical="center"/>
    </xf>
    <xf numFmtId="0" fontId="65" fillId="12" borderId="53" xfId="0" applyFont="1" applyFill="1" applyBorder="1" applyAlignment="1">
      <alignment vertical="center"/>
    </xf>
    <xf numFmtId="0" fontId="36" fillId="12" borderId="5" xfId="0" applyFont="1" applyFill="1" applyBorder="1" applyAlignment="1">
      <alignment horizontal="left" wrapText="1"/>
    </xf>
    <xf numFmtId="0" fontId="36" fillId="12" borderId="19" xfId="0" applyFont="1" applyFill="1" applyBorder="1" applyAlignment="1">
      <alignment horizontal="left" wrapText="1"/>
    </xf>
    <xf numFmtId="0" fontId="36" fillId="12" borderId="9" xfId="0" applyFont="1" applyFill="1" applyBorder="1" applyAlignment="1">
      <alignment horizontal="left" wrapText="1"/>
    </xf>
    <xf numFmtId="0" fontId="30" fillId="2" borderId="5" xfId="0" applyFont="1" applyFill="1" applyBorder="1" applyAlignment="1">
      <alignment vertical="center"/>
    </xf>
    <xf numFmtId="0" fontId="30" fillId="2" borderId="19" xfId="0" applyFont="1" applyFill="1" applyBorder="1" applyAlignment="1">
      <alignment vertical="center"/>
    </xf>
    <xf numFmtId="0" fontId="30" fillId="2" borderId="9" xfId="0" applyFont="1" applyFill="1" applyBorder="1" applyAlignment="1">
      <alignment vertical="center"/>
    </xf>
    <xf numFmtId="0" fontId="4" fillId="7" borderId="18" xfId="0" applyFont="1" applyFill="1" applyBorder="1" applyAlignment="1">
      <alignment horizontal="center" wrapText="1"/>
    </xf>
    <xf numFmtId="4" fontId="10" fillId="12" borderId="2" xfId="0" applyNumberFormat="1" applyFont="1" applyFill="1" applyBorder="1" applyAlignment="1">
      <alignment horizontal="center"/>
    </xf>
    <xf numFmtId="0" fontId="0" fillId="0" borderId="16" xfId="0" applyBorder="1" applyAlignment="1">
      <alignment horizontal="center"/>
    </xf>
    <xf numFmtId="0" fontId="8" fillId="0" borderId="31" xfId="0" applyFont="1" applyBorder="1" applyAlignment="1">
      <alignment vertical="center" wrapText="1"/>
    </xf>
    <xf numFmtId="0" fontId="10" fillId="0" borderId="30" xfId="0" applyFont="1" applyBorder="1" applyAlignment="1">
      <alignment wrapText="1"/>
    </xf>
    <xf numFmtId="0" fontId="10" fillId="0" borderId="7" xfId="0" applyFont="1" applyBorder="1" applyAlignment="1">
      <alignment horizontal="left" vertical="top" wrapText="1"/>
    </xf>
    <xf numFmtId="0" fontId="10" fillId="0" borderId="45" xfId="0" applyFont="1" applyBorder="1" applyAlignment="1">
      <alignment horizontal="left" vertical="top" wrapText="1"/>
    </xf>
    <xf numFmtId="0" fontId="10" fillId="0" borderId="80" xfId="0" applyFont="1" applyBorder="1" applyAlignment="1">
      <alignment horizontal="left" vertical="top" wrapText="1"/>
    </xf>
    <xf numFmtId="0" fontId="27" fillId="12" borderId="29" xfId="0" applyFont="1" applyFill="1" applyBorder="1" applyAlignment="1">
      <alignment horizontal="center" wrapText="1"/>
    </xf>
    <xf numFmtId="0" fontId="0" fillId="12" borderId="28" xfId="0" applyFill="1" applyBorder="1" applyAlignment="1">
      <alignment horizontal="center" wrapText="1"/>
    </xf>
    <xf numFmtId="0" fontId="0" fillId="12" borderId="36" xfId="0" applyFill="1" applyBorder="1" applyAlignment="1">
      <alignment horizontal="center" wrapText="1"/>
    </xf>
    <xf numFmtId="0" fontId="2" fillId="26" borderId="16" xfId="0" applyFont="1" applyFill="1" applyBorder="1" applyAlignment="1">
      <alignment horizontal="center"/>
    </xf>
    <xf numFmtId="4" fontId="10" fillId="9" borderId="16" xfId="0" applyNumberFormat="1" applyFont="1" applyFill="1" applyBorder="1" applyAlignment="1">
      <alignment horizontal="center"/>
    </xf>
    <xf numFmtId="4" fontId="10" fillId="9" borderId="4" xfId="0" applyNumberFormat="1" applyFont="1" applyFill="1" applyBorder="1" applyAlignment="1">
      <alignment horizontal="center"/>
    </xf>
    <xf numFmtId="0" fontId="36" fillId="2" borderId="14" xfId="0" applyFont="1" applyFill="1" applyBorder="1" applyAlignment="1">
      <alignment vertical="center" wrapText="1"/>
    </xf>
    <xf numFmtId="0" fontId="36" fillId="2" borderId="1" xfId="0" applyFont="1" applyFill="1" applyBorder="1" applyAlignment="1">
      <alignment vertical="center"/>
    </xf>
    <xf numFmtId="0" fontId="36" fillId="2" borderId="27" xfId="0" applyFont="1" applyFill="1" applyBorder="1" applyAlignment="1">
      <alignment vertical="center"/>
    </xf>
    <xf numFmtId="0" fontId="37" fillId="2" borderId="14" xfId="0" applyFont="1" applyFill="1" applyBorder="1" applyAlignment="1">
      <alignment vertical="center" wrapText="1"/>
    </xf>
    <xf numFmtId="0" fontId="37" fillId="2" borderId="1" xfId="0" applyFont="1" applyFill="1" applyBorder="1" applyAlignment="1">
      <alignment vertical="center"/>
    </xf>
    <xf numFmtId="0" fontId="37" fillId="2" borderId="27" xfId="0" applyFont="1" applyFill="1" applyBorder="1" applyAlignment="1">
      <alignment vertical="center"/>
    </xf>
    <xf numFmtId="0" fontId="24" fillId="2" borderId="14" xfId="0" applyFont="1" applyFill="1" applyBorder="1" applyAlignment="1">
      <alignment vertical="center" wrapText="1"/>
    </xf>
    <xf numFmtId="0" fontId="24" fillId="2" borderId="1" xfId="0" applyFont="1" applyFill="1" applyBorder="1" applyAlignment="1">
      <alignment vertical="center"/>
    </xf>
    <xf numFmtId="0" fontId="24" fillId="2" borderId="27" xfId="0" applyFont="1" applyFill="1" applyBorder="1" applyAlignment="1">
      <alignment vertical="center"/>
    </xf>
    <xf numFmtId="0" fontId="24" fillId="12" borderId="5" xfId="0" applyFont="1" applyFill="1" applyBorder="1" applyAlignment="1">
      <alignment vertical="center" wrapText="1"/>
    </xf>
    <xf numFmtId="0" fontId="24" fillId="12" borderId="19" xfId="0" applyFont="1" applyFill="1" applyBorder="1" applyAlignment="1">
      <alignment vertical="center" wrapText="1"/>
    </xf>
    <xf numFmtId="0" fontId="24" fillId="12" borderId="9" xfId="0" applyFont="1" applyFill="1" applyBorder="1" applyAlignment="1">
      <alignment vertical="center" wrapText="1"/>
    </xf>
    <xf numFmtId="0" fontId="1" fillId="0" borderId="5" xfId="0" applyFont="1" applyBorder="1" applyAlignment="1">
      <alignment vertical="center" wrapText="1"/>
    </xf>
    <xf numFmtId="0" fontId="36" fillId="2" borderId="5" xfId="0" applyFont="1" applyFill="1" applyBorder="1" applyAlignment="1">
      <alignment vertical="center" wrapText="1"/>
    </xf>
    <xf numFmtId="0" fontId="41" fillId="0" borderId="19" xfId="0" applyFont="1" applyBorder="1" applyAlignment="1">
      <alignment vertical="center" wrapText="1"/>
    </xf>
    <xf numFmtId="0" fontId="41" fillId="0" borderId="9" xfId="0" applyFont="1" applyBorder="1" applyAlignment="1">
      <alignment vertical="center" wrapText="1"/>
    </xf>
    <xf numFmtId="0" fontId="8" fillId="2" borderId="2" xfId="0" applyFont="1" applyFill="1" applyBorder="1" applyAlignment="1">
      <alignment vertical="center" wrapText="1"/>
    </xf>
    <xf numFmtId="0" fontId="8" fillId="2" borderId="2" xfId="0" applyFont="1" applyFill="1" applyBorder="1" applyAlignment="1">
      <alignment vertical="center"/>
    </xf>
    <xf numFmtId="0" fontId="8" fillId="2" borderId="53" xfId="0" applyFont="1" applyFill="1" applyBorder="1" applyAlignment="1">
      <alignment vertical="center"/>
    </xf>
    <xf numFmtId="0" fontId="0" fillId="0" borderId="19" xfId="0" applyBorder="1" applyAlignment="1">
      <alignment vertical="center"/>
    </xf>
    <xf numFmtId="0" fontId="0" fillId="0" borderId="48" xfId="0" applyBorder="1" applyAlignment="1">
      <alignment vertical="center"/>
    </xf>
    <xf numFmtId="0" fontId="8" fillId="2" borderId="50" xfId="0" applyFont="1" applyFill="1" applyBorder="1" applyAlignment="1">
      <alignment vertical="center" wrapText="1"/>
    </xf>
    <xf numFmtId="0" fontId="8" fillId="2" borderId="51" xfId="0" applyFont="1" applyFill="1" applyBorder="1" applyAlignment="1">
      <alignment vertical="center" wrapText="1"/>
    </xf>
    <xf numFmtId="0" fontId="8" fillId="0" borderId="7" xfId="0" applyFont="1" applyBorder="1" applyAlignment="1">
      <alignment vertical="center" wrapText="1"/>
    </xf>
    <xf numFmtId="0" fontId="8" fillId="0" borderId="15" xfId="0" applyFont="1" applyBorder="1" applyAlignment="1">
      <alignment vertical="center" wrapText="1"/>
    </xf>
    <xf numFmtId="0" fontId="0" fillId="0" borderId="14" xfId="0" applyBorder="1" applyAlignment="1">
      <alignment vertical="center" wrapText="1"/>
    </xf>
    <xf numFmtId="10" fontId="22" fillId="2" borderId="5" xfId="0" applyNumberFormat="1" applyFont="1" applyFill="1" applyBorder="1" applyAlignment="1">
      <alignment horizontal="center"/>
    </xf>
    <xf numFmtId="0" fontId="0" fillId="0" borderId="19" xfId="0" applyBorder="1"/>
    <xf numFmtId="0" fontId="1" fillId="0" borderId="7" xfId="0" applyFont="1" applyBorder="1" applyAlignment="1">
      <alignment vertical="center" wrapText="1"/>
    </xf>
    <xf numFmtId="0" fontId="19" fillId="17" borderId="5" xfId="0" applyFont="1" applyFill="1" applyBorder="1" applyAlignment="1">
      <alignment vertical="center" wrapText="1"/>
    </xf>
    <xf numFmtId="0" fontId="19" fillId="17" borderId="19" xfId="0" applyFont="1" applyFill="1" applyBorder="1" applyAlignment="1">
      <alignment vertical="center" wrapText="1"/>
    </xf>
    <xf numFmtId="0" fontId="19" fillId="17" borderId="9" xfId="0" applyFont="1" applyFill="1" applyBorder="1" applyAlignment="1">
      <alignment vertical="center" wrapText="1"/>
    </xf>
    <xf numFmtId="0" fontId="1" fillId="0" borderId="19" xfId="0" applyFont="1" applyBorder="1" applyAlignment="1">
      <alignment wrapText="1"/>
    </xf>
    <xf numFmtId="0" fontId="1" fillId="0" borderId="9" xfId="0" applyFont="1" applyBorder="1" applyAlignment="1">
      <alignment wrapText="1"/>
    </xf>
    <xf numFmtId="10" fontId="11" fillId="16" borderId="5" xfId="0" applyNumberFormat="1" applyFont="1" applyFill="1" applyBorder="1" applyAlignment="1">
      <alignment horizontal="center"/>
    </xf>
    <xf numFmtId="10" fontId="11" fillId="10" borderId="5" xfId="0" applyNumberFormat="1" applyFont="1" applyFill="1" applyBorder="1" applyAlignment="1">
      <alignment horizontal="center"/>
    </xf>
    <xf numFmtId="0" fontId="8" fillId="0" borderId="2" xfId="0" applyFont="1" applyBorder="1" applyAlignment="1">
      <alignment vertical="center" wrapText="1"/>
    </xf>
    <xf numFmtId="0" fontId="8" fillId="0" borderId="2" xfId="0" applyFont="1" applyBorder="1" applyAlignment="1">
      <alignment vertical="center"/>
    </xf>
    <xf numFmtId="0" fontId="8" fillId="0" borderId="53" xfId="0" applyFont="1" applyBorder="1" applyAlignment="1">
      <alignment vertical="center"/>
    </xf>
    <xf numFmtId="0" fontId="1" fillId="23" borderId="5" xfId="0" applyFont="1" applyFill="1" applyBorder="1" applyAlignment="1">
      <alignment vertical="center" wrapText="1"/>
    </xf>
    <xf numFmtId="0" fontId="10" fillId="23" borderId="19" xfId="0" applyFont="1" applyFill="1" applyBorder="1" applyAlignment="1">
      <alignment vertical="center" wrapText="1"/>
    </xf>
    <xf numFmtId="0" fontId="10" fillId="23" borderId="9" xfId="0" applyFont="1" applyFill="1" applyBorder="1" applyAlignment="1">
      <alignment vertical="center" wrapText="1"/>
    </xf>
    <xf numFmtId="0" fontId="81" fillId="0" borderId="10" xfId="0" applyFont="1" applyBorder="1" applyAlignment="1">
      <alignment horizontal="left" vertical="top" wrapText="1"/>
    </xf>
    <xf numFmtId="0" fontId="4" fillId="0" borderId="0" xfId="0" applyFont="1" applyAlignment="1">
      <alignment horizontal="left" vertical="top" wrapText="1"/>
    </xf>
    <xf numFmtId="0" fontId="4" fillId="0" borderId="33" xfId="0" applyFont="1" applyBorder="1" applyAlignment="1">
      <alignment horizontal="left" vertical="top" wrapText="1"/>
    </xf>
    <xf numFmtId="0" fontId="1" fillId="0" borderId="14" xfId="0" applyFont="1" applyBorder="1" applyAlignment="1">
      <alignment horizontal="left" wrapText="1"/>
    </xf>
    <xf numFmtId="0" fontId="1" fillId="0" borderId="1" xfId="0" applyFont="1" applyBorder="1" applyAlignment="1">
      <alignment horizontal="left" wrapText="1"/>
    </xf>
    <xf numFmtId="0" fontId="1" fillId="0" borderId="83" xfId="0" applyFont="1" applyBorder="1" applyAlignment="1">
      <alignment horizontal="left" wrapText="1"/>
    </xf>
    <xf numFmtId="0" fontId="38" fillId="12" borderId="45" xfId="0" applyFont="1" applyFill="1" applyBorder="1" applyAlignment="1">
      <alignment vertical="center" wrapText="1"/>
    </xf>
    <xf numFmtId="0" fontId="24" fillId="2" borderId="7" xfId="0" applyFont="1" applyFill="1" applyBorder="1" applyAlignment="1">
      <alignment vertical="center" wrapText="1"/>
    </xf>
    <xf numFmtId="0" fontId="24" fillId="2" borderId="45" xfId="0" applyFont="1" applyFill="1" applyBorder="1" applyAlignment="1">
      <alignment vertical="center"/>
    </xf>
    <xf numFmtId="0" fontId="24" fillId="2" borderId="15" xfId="0" applyFont="1" applyFill="1" applyBorder="1" applyAlignment="1">
      <alignment vertical="center"/>
    </xf>
    <xf numFmtId="0" fontId="1" fillId="12" borderId="19" xfId="0" applyFont="1" applyFill="1" applyBorder="1" applyAlignment="1">
      <alignment vertical="center" wrapText="1"/>
    </xf>
    <xf numFmtId="0" fontId="1" fillId="12" borderId="9" xfId="0" applyFont="1" applyFill="1" applyBorder="1" applyAlignment="1">
      <alignment vertical="center" wrapText="1"/>
    </xf>
    <xf numFmtId="0" fontId="8" fillId="0" borderId="58" xfId="0" applyFont="1" applyBorder="1" applyAlignment="1">
      <alignment vertical="center" wrapText="1"/>
    </xf>
    <xf numFmtId="0" fontId="8" fillId="0" borderId="68" xfId="0" applyFont="1" applyBorder="1" applyAlignment="1">
      <alignment vertical="center" wrapText="1"/>
    </xf>
    <xf numFmtId="0" fontId="8" fillId="0" borderId="78" xfId="0" applyFont="1" applyBorder="1" applyAlignment="1">
      <alignment vertical="center" wrapText="1"/>
    </xf>
    <xf numFmtId="0" fontId="30" fillId="0" borderId="0" xfId="0" applyFont="1" applyAlignment="1">
      <alignment horizontal="left" wrapText="1"/>
    </xf>
    <xf numFmtId="0" fontId="34" fillId="2" borderId="34" xfId="0" applyFont="1" applyFill="1" applyBorder="1" applyAlignment="1">
      <alignment horizontal="left" wrapText="1"/>
    </xf>
    <xf numFmtId="0" fontId="34" fillId="2" borderId="35" xfId="0" applyFont="1" applyFill="1" applyBorder="1" applyAlignment="1">
      <alignment horizontal="left" wrapText="1"/>
    </xf>
    <xf numFmtId="0" fontId="53" fillId="2" borderId="25" xfId="0" applyFont="1" applyFill="1" applyBorder="1" applyAlignment="1">
      <alignment horizontal="left" wrapText="1"/>
    </xf>
    <xf numFmtId="1" fontId="54" fillId="0" borderId="22"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99CC"/>
      <color rgb="FFFF3737"/>
      <color rgb="FFFFFF99"/>
      <color rgb="FFFFFFCC"/>
      <color rgb="FFF4C2BE"/>
      <color rgb="FFCC99FF"/>
      <color rgb="FFF820E9"/>
      <color rgb="FF99CCFF"/>
      <color rgb="FF008E40"/>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SBS2011\Data\BSTC%20Business%20Plan\5%20year%20budget\2015.16%20Budget%20Plan\2015.16%20Approved%20budget%2012.3.15%20-%20Forward%20Pl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 Year Plan summary "/>
      <sheetName val="5 year budget "/>
    </sheetNames>
    <sheetDataSet>
      <sheetData sheetId="0"/>
      <sheetData sheetId="1">
        <row r="90">
          <cell r="C90">
            <v>4998.28</v>
          </cell>
        </row>
        <row r="91">
          <cell r="C91">
            <v>5000</v>
          </cell>
        </row>
        <row r="92">
          <cell r="C92">
            <v>5327.61</v>
          </cell>
        </row>
        <row r="93">
          <cell r="C93">
            <v>6971.4</v>
          </cell>
        </row>
        <row r="94">
          <cell r="C94">
            <v>2404.2399999999998</v>
          </cell>
        </row>
        <row r="102">
          <cell r="C102">
            <v>7108.99</v>
          </cell>
        </row>
        <row r="104">
          <cell r="C104">
            <v>23793.279999999999</v>
          </cell>
        </row>
        <row r="110">
          <cell r="C110">
            <v>11748</v>
          </cell>
        </row>
        <row r="127">
          <cell r="C127">
            <v>599357.87999999989</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6"/>
  <sheetViews>
    <sheetView tabSelected="1" zoomScaleNormal="100" workbookViewId="0">
      <selection activeCell="Z15" sqref="Z15"/>
    </sheetView>
  </sheetViews>
  <sheetFormatPr defaultColWidth="9.140625" defaultRowHeight="12.75" x14ac:dyDescent="0.2"/>
  <cols>
    <col min="1" max="1" width="39.140625" style="165" customWidth="1"/>
    <col min="2" max="2" width="9.28515625" style="165" hidden="1" customWidth="1"/>
    <col min="3" max="3" width="13.7109375" style="165" hidden="1" customWidth="1"/>
    <col min="4" max="4" width="12" style="166" hidden="1" customWidth="1"/>
    <col min="5" max="5" width="0.28515625" style="165" hidden="1" customWidth="1"/>
    <col min="6" max="6" width="0.140625" style="166" hidden="1" customWidth="1"/>
    <col min="7" max="7" width="0.28515625" style="165" hidden="1" customWidth="1"/>
    <col min="8" max="8" width="0.7109375" style="166" hidden="1" customWidth="1"/>
    <col min="9" max="9" width="0.42578125" style="165" hidden="1" customWidth="1"/>
    <col min="10" max="10" width="12.7109375" style="166" hidden="1" customWidth="1"/>
    <col min="11" max="11" width="16.140625" style="165" hidden="1" customWidth="1"/>
    <col min="12" max="12" width="0.140625" style="166" hidden="1" customWidth="1"/>
    <col min="13" max="13" width="17.7109375" style="165" hidden="1" customWidth="1"/>
    <col min="14" max="14" width="11.28515625" style="166" hidden="1" customWidth="1"/>
    <col min="15" max="15" width="0.28515625" style="165" hidden="1" customWidth="1"/>
    <col min="16" max="16" width="11.7109375" style="166" hidden="1" customWidth="1"/>
    <col min="17" max="17" width="21.28515625" style="165" customWidth="1"/>
    <col min="18" max="18" width="23" style="165" customWidth="1"/>
    <col min="19" max="19" width="22.140625" style="165" customWidth="1"/>
    <col min="20" max="20" width="22.5703125" style="165" customWidth="1"/>
    <col min="21" max="21" width="22.7109375" style="165" customWidth="1"/>
    <col min="22" max="22" width="24" style="165" customWidth="1"/>
    <col min="23" max="23" width="21.5703125" style="165" customWidth="1"/>
    <col min="24" max="16384" width="9.140625" style="165"/>
  </cols>
  <sheetData>
    <row r="1" spans="1:23" s="160" customFormat="1" ht="24" customHeight="1" x14ac:dyDescent="0.35">
      <c r="A1" s="679" t="s">
        <v>533</v>
      </c>
      <c r="B1" s="679"/>
      <c r="C1" s="679"/>
      <c r="D1" s="679"/>
      <c r="E1" s="679"/>
      <c r="F1" s="679"/>
      <c r="G1" s="679"/>
      <c r="H1" s="679"/>
      <c r="I1" s="679"/>
      <c r="J1" s="679"/>
      <c r="K1" s="679"/>
      <c r="L1" s="679"/>
      <c r="M1" s="679"/>
      <c r="N1" s="679"/>
      <c r="O1" s="679"/>
      <c r="P1" s="679"/>
      <c r="Q1" s="679"/>
      <c r="R1" s="679"/>
      <c r="S1" s="679"/>
      <c r="T1" s="679"/>
      <c r="U1" s="679"/>
      <c r="V1" s="679"/>
      <c r="W1" s="1"/>
    </row>
    <row r="2" spans="1:23" ht="12.75" customHeight="1" x14ac:dyDescent="0.2">
      <c r="B2" s="692" t="s">
        <v>196</v>
      </c>
      <c r="C2" s="683" t="s">
        <v>207</v>
      </c>
      <c r="D2" s="702" t="s">
        <v>169</v>
      </c>
      <c r="E2" s="680" t="s">
        <v>225</v>
      </c>
      <c r="F2" s="685" t="s">
        <v>169</v>
      </c>
      <c r="G2" s="687" t="s">
        <v>226</v>
      </c>
      <c r="H2" s="649" t="s">
        <v>169</v>
      </c>
      <c r="I2" s="670" t="s">
        <v>257</v>
      </c>
      <c r="J2" s="688" t="s">
        <v>169</v>
      </c>
      <c r="K2" s="653" t="s">
        <v>269</v>
      </c>
      <c r="L2" s="704" t="s">
        <v>169</v>
      </c>
      <c r="M2" s="668" t="s">
        <v>292</v>
      </c>
      <c r="N2" s="672" t="s">
        <v>169</v>
      </c>
      <c r="O2" s="655" t="s">
        <v>304</v>
      </c>
      <c r="P2" s="666" t="s">
        <v>169</v>
      </c>
      <c r="Q2" s="651" t="s">
        <v>530</v>
      </c>
      <c r="R2" s="668" t="s">
        <v>531</v>
      </c>
      <c r="S2" s="655" t="s">
        <v>532</v>
      </c>
      <c r="T2" s="662" t="s">
        <v>346</v>
      </c>
      <c r="U2" s="647" t="s">
        <v>347</v>
      </c>
      <c r="V2" s="651" t="s">
        <v>383</v>
      </c>
      <c r="W2" s="668" t="s">
        <v>478</v>
      </c>
    </row>
    <row r="3" spans="1:23" ht="42.75" customHeight="1" x14ac:dyDescent="0.3">
      <c r="A3" s="167" t="s">
        <v>165</v>
      </c>
      <c r="B3" s="671"/>
      <c r="C3" s="684"/>
      <c r="D3" s="703"/>
      <c r="E3" s="681"/>
      <c r="F3" s="686"/>
      <c r="G3" s="652"/>
      <c r="H3" s="650"/>
      <c r="I3" s="671"/>
      <c r="J3" s="689"/>
      <c r="K3" s="654"/>
      <c r="L3" s="705"/>
      <c r="M3" s="669"/>
      <c r="N3" s="673"/>
      <c r="O3" s="656"/>
      <c r="P3" s="667"/>
      <c r="Q3" s="652"/>
      <c r="R3" s="669"/>
      <c r="S3" s="656"/>
      <c r="T3" s="663"/>
      <c r="U3" s="648"/>
      <c r="V3" s="652"/>
      <c r="W3" s="669"/>
    </row>
    <row r="4" spans="1:23" ht="24.75" customHeight="1" x14ac:dyDescent="0.25">
      <c r="A4" s="168" t="s">
        <v>156</v>
      </c>
      <c r="B4" s="169" t="e">
        <f>'5 year budget '!C14+'5 year budget '!C18+'5 year budget '!C27+'5 year budget '!#REF!+'5 year budget '!#REF!+'5 year budget '!#REF!+'5 year budget '!#REF!+'5 year budget '!#REF!</f>
        <v>#REF!</v>
      </c>
      <c r="C4" s="170" t="e">
        <f>'5 year budget '!D5+'5 year budget '!D6+'5 year budget '!D14+'5 year budget '!D18+'5 year budget '!D27+'5 year budget '!#REF!+'5 year budget '!#REF!+'5 year budget '!#REF!+'5 year budget '!#REF!+'5 year budget '!#REF!+'5 year budget '!#REF!</f>
        <v>#REF!</v>
      </c>
      <c r="D4" s="171" t="e">
        <f>(C4-B4)/B4</f>
        <v>#REF!</v>
      </c>
      <c r="E4" s="172" t="e">
        <f>'5 year budget '!E5+'5 year budget '!E14+'5 year budget '!E18+'5 year budget '!E27+'5 year budget '!#REF!+'5 year budget '!#REF!+'5 year budget '!#REF!+'5 year budget '!#REF!+'5 year budget '!#REF!+'5 year budget '!#REF!+'5 year budget '!#REF!+'5 year budget '!#REF!+'5 year budget '!#REF!+'5 year budget '!E30</f>
        <v>#REF!</v>
      </c>
      <c r="F4" s="173" t="e">
        <f>(E4-C4)/C4</f>
        <v>#REF!</v>
      </c>
      <c r="G4" s="174" t="e">
        <f>'5 year budget '!F5+'5 year budget '!F14+'5 year budget '!F18+'5 year budget '!F27+'5 year budget '!#REF!+'5 year budget '!#REF!+'5 year budget '!#REF!+'5 year budget '!#REF!+'5 year budget '!#REF!+'5 year budget '!#REF!+'5 year budget '!#REF!+'5 year budget '!#REF!+'5 year budget '!#REF!+'5 year budget '!#REF!+'5 year budget '!F30</f>
        <v>#REF!</v>
      </c>
      <c r="H4" s="175" t="e">
        <f>(G4-E4)/E4</f>
        <v>#REF!</v>
      </c>
      <c r="I4" s="383" t="e">
        <f>'5 year budget '!G5+'5 year budget '!G14+'5 year budget '!G18+'5 year budget '!G27+'5 year budget '!#REF!+'5 year budget '!#REF!+'5 year budget '!#REF!+'5 year budget '!#REF!+'5 year budget '!#REF!+'5 year budget '!#REF!+'5 year budget '!#REF!+'5 year budget '!#REF!+'5 year budget '!#REF!+'5 year budget '!G30+'5 year budget '!#REF!</f>
        <v>#REF!</v>
      </c>
      <c r="J4" s="384" t="e">
        <f>(I4-G4)/G4</f>
        <v>#REF!</v>
      </c>
      <c r="K4" s="297" t="e">
        <f>'5 year budget '!H5+'5 year budget '!H14+'5 year budget '!H18+'5 year budget '!H27+'5 year budget '!#REF!+'5 year budget '!#REF!+'5 year budget '!#REF!+'5 year budget '!#REF!+'5 year budget '!#REF!+'5 year budget '!#REF!+'5 year budget '!#REF!+'5 year budget '!#REF!+'5 year budget '!#REF!+'5 year budget '!H30+'5 year budget '!#REF!</f>
        <v>#REF!</v>
      </c>
      <c r="L4" s="298" t="e">
        <f>(K4-I4)/I4</f>
        <v>#REF!</v>
      </c>
      <c r="M4" s="458">
        <f>'5 year budget '!I6+'5 year budget '!I5+'5 year budget '!I14+'5 year budget '!I18+'5 year budget '!I27+ '5 year budget '!I30+'5 year budget '!I16+'5 year budget '!I28</f>
        <v>21030.79</v>
      </c>
      <c r="N4" s="459">
        <v>-0.05</v>
      </c>
      <c r="O4" s="487">
        <f>'5 year budget '!K5+'5 year budget '!K6+'5 year budget '!K14+'5 year budget '!K28+'5 year budget '!K29+'5 year budget '!K30</f>
        <v>76318.78</v>
      </c>
      <c r="P4" s="501">
        <f>(O4-M4)/M4</f>
        <v>2.6289069502381981</v>
      </c>
      <c r="Q4" s="174">
        <f>'5 year budget '!Q5+'5 year budget '!Q6+'5 year budget '!Q14</f>
        <v>40578.589999999997</v>
      </c>
      <c r="R4" s="580">
        <f>'5 year budget '!S5+'5 year budget '!S6+'5 year budget '!S14</f>
        <v>66153.239999999991</v>
      </c>
      <c r="S4" s="485">
        <f>'5 year budget '!U5+'5 year budget '!U6+'5 year budget '!U14</f>
        <v>64780</v>
      </c>
      <c r="T4" s="588">
        <f>'5 year budget '!W5+'5 year budget '!W6+'5 year budget '!W14</f>
        <v>25000</v>
      </c>
      <c r="U4" s="612">
        <f>'5 year budget '!Y5+'5 year budget '!Y6+'5 year budget '!Y14</f>
        <v>25000</v>
      </c>
      <c r="V4" s="187">
        <f>'5 year budget '!AA5+'5 year budget '!AA6+'5 year budget '!AA14</f>
        <v>25000</v>
      </c>
      <c r="W4" s="602">
        <f>'5 year budget '!AC5+'5 year budget '!AC6+'5 year budget '!AC14</f>
        <v>25000</v>
      </c>
    </row>
    <row r="5" spans="1:23" ht="18" customHeight="1" x14ac:dyDescent="0.25">
      <c r="A5" s="545" t="s">
        <v>374</v>
      </c>
      <c r="B5" s="169"/>
      <c r="C5" s="170"/>
      <c r="D5" s="171"/>
      <c r="E5" s="172"/>
      <c r="F5" s="173"/>
      <c r="G5" s="174"/>
      <c r="H5" s="175"/>
      <c r="I5" s="383"/>
      <c r="J5" s="384"/>
      <c r="K5" s="297"/>
      <c r="L5" s="298"/>
      <c r="M5" s="554"/>
      <c r="N5" s="555"/>
      <c r="O5" s="556"/>
      <c r="P5" s="555"/>
      <c r="Q5" s="174">
        <f>'5 year budget '!Q16+'5 year budget '!Q17+'5 year budget '!Q28+'5 year budget '!Q29+'5 year budget '!Q30+'5 year budget '!Q31+'5 year budget '!Q33+'5 year budget '!Q32</f>
        <v>13129</v>
      </c>
      <c r="R5" s="580">
        <f>'5 year budget '!S16+'5 year budget '!S17+'5 year budget '!S28+'5 year budget '!S29+'5 year budget '!S30+'5 year budget '!S31+'5 year budget '!S33</f>
        <v>21337</v>
      </c>
      <c r="S5" s="487">
        <f>'5 year budget '!U16+'5 year budget '!U17+'5 year budget '!U28+'5 year budget '!U29+'5 year budget '!U30+'5 year budget '!U31+'5 year budget '!U33</f>
        <v>28835.5</v>
      </c>
      <c r="T5" s="589">
        <f>'5 year budget '!W16+'5 year budget '!W17+'5 year budget '!W28+'5 year budget '!W29+'5 year budget '!W30+'5 year budget '!W31+'5 year budget '!W33</f>
        <v>14000</v>
      </c>
      <c r="U5" s="474">
        <f>'5 year budget '!Y16+'5 year budget '!Y17+'5 year budget '!Y28+'5 year budget '!Y29+'5 year budget '!Y30+'5 year budget '!Y31+'5 year budget '!Y33</f>
        <v>14000</v>
      </c>
      <c r="V5" s="564">
        <f>'5 year budget '!AA16+'5 year budget '!AA17+'5 year budget '!AA28+'5 year budget '!AA29+'5 year budget '!AA30+'5 year budget '!AA31+'5 year budget '!AA33</f>
        <v>14000</v>
      </c>
      <c r="W5" s="603">
        <f>'5 year budget '!AC16+'5 year budget '!AC17+'5 year budget '!AC28+'5 year budget '!AC29+'5 year budget '!AC30+'5 year budget '!AC31+'5 year budget '!AC33</f>
        <v>14000</v>
      </c>
    </row>
    <row r="6" spans="1:23" ht="20.25" customHeight="1" x14ac:dyDescent="0.25">
      <c r="A6" s="177" t="s">
        <v>148</v>
      </c>
      <c r="B6" s="169">
        <f>'5 year budget '!C9</f>
        <v>0</v>
      </c>
      <c r="C6" s="170">
        <f>'5 year budget '!D9</f>
        <v>0</v>
      </c>
      <c r="D6" s="171">
        <v>0</v>
      </c>
      <c r="E6" s="172">
        <f>'5 year budget '!E9</f>
        <v>0</v>
      </c>
      <c r="F6" s="173">
        <v>0</v>
      </c>
      <c r="G6" s="174">
        <f>'5 year budget '!F9</f>
        <v>0</v>
      </c>
      <c r="H6" s="175">
        <v>0</v>
      </c>
      <c r="I6" s="383">
        <f>'5 year budget '!G9</f>
        <v>0</v>
      </c>
      <c r="J6" s="384">
        <v>0</v>
      </c>
      <c r="K6" s="297">
        <f>'5 year budget '!H9</f>
        <v>0</v>
      </c>
      <c r="L6" s="298">
        <v>0</v>
      </c>
      <c r="M6" s="458">
        <f>'5 year budget '!I9</f>
        <v>0</v>
      </c>
      <c r="N6" s="459">
        <v>0</v>
      </c>
      <c r="O6" s="487">
        <f>'5 year budget '!K9</f>
        <v>0</v>
      </c>
      <c r="P6" s="501">
        <v>0</v>
      </c>
      <c r="Q6" s="174">
        <f>'5 year budget '!Q9</f>
        <v>0</v>
      </c>
      <c r="R6" s="580">
        <f>'5 year budget '!S9</f>
        <v>0</v>
      </c>
      <c r="S6" s="487">
        <f>'5 year budget '!U9</f>
        <v>0</v>
      </c>
      <c r="T6" s="589">
        <f>'5 year budget '!W9</f>
        <v>0</v>
      </c>
      <c r="U6" s="474">
        <f>'5 year budget '!Y9</f>
        <v>0</v>
      </c>
      <c r="V6" s="174">
        <f>'5 year budget '!AA9</f>
        <v>0</v>
      </c>
      <c r="W6" s="580">
        <f>'5 year budget '!AC9</f>
        <v>0</v>
      </c>
    </row>
    <row r="7" spans="1:23" ht="18.75" customHeight="1" x14ac:dyDescent="0.25">
      <c r="A7" s="177" t="s">
        <v>167</v>
      </c>
      <c r="B7" s="169">
        <f>'5 year budget '!C10+'5 year budget '!C11+'5 year budget '!C12+'5 year budget '!C19+'5 year budget '!C20+'5 year budget '!C21</f>
        <v>123181.84000000001</v>
      </c>
      <c r="C7" s="170">
        <f>'5 year budget '!D10+'5 year budget '!D11+'5 year budget '!D12+'5 year budget '!D19+'5 year budget '!D20+'5 year budget '!D21</f>
        <v>138258.6</v>
      </c>
      <c r="D7" s="171">
        <f>(C7-B7)/B7</f>
        <v>0.1223943399449139</v>
      </c>
      <c r="E7" s="172">
        <f>'5 year budget '!E10+'5 year budget '!E11+'5 year budget '!E12+'5 year budget '!E19+'5 year budget '!E21</f>
        <v>129469.81</v>
      </c>
      <c r="F7" s="173">
        <f>(E7-C7)/C7</f>
        <v>-6.3567763596622612E-2</v>
      </c>
      <c r="G7" s="174">
        <f>'5 year budget '!F10+'5 year budget '!F11+'5 year budget '!F12+'5 year budget '!F19+'5 year budget '!F21</f>
        <v>130529.58</v>
      </c>
      <c r="H7" s="175">
        <f>(G7-E7)/E7</f>
        <v>8.1854603787555116E-3</v>
      </c>
      <c r="I7" s="383">
        <f>'5 year budget '!G10+'5 year budget '!G11+'5 year budget '!G12+'5 year budget '!G19+'5 year budget '!G20+'5 year budget '!G21</f>
        <v>131424.15</v>
      </c>
      <c r="J7" s="384">
        <f>(I7-G7)/G7</f>
        <v>6.853389093874296E-3</v>
      </c>
      <c r="K7" s="297">
        <f>'5 year budget '!H10+'5 year budget '!H11+'5 year budget '!H12+'5 year budget '!H19+'5 year budget '!H21</f>
        <v>143386.59000000003</v>
      </c>
      <c r="L7" s="298">
        <f>(K7-I7)/I7</f>
        <v>9.1021627303657898E-2</v>
      </c>
      <c r="M7" s="458">
        <f>'5 year budget '!I10+'5 year budget '!I11+'5 year budget '!I12+'5 year budget '!I19+'5 year budget '!I21</f>
        <v>137025.36000000002</v>
      </c>
      <c r="N7" s="459">
        <f>(M7-K7)/K7</f>
        <v>-4.4364190542504775E-2</v>
      </c>
      <c r="O7" s="487">
        <f>'5 year budget '!K10+'5 year budget '!K11+'5 year budget '!K12+'5 year budget '!K19+'5 year budget '!K21</f>
        <v>71521.649999999994</v>
      </c>
      <c r="P7" s="501">
        <f>(O7-M7)/M7</f>
        <v>-0.47804078018842655</v>
      </c>
      <c r="Q7" s="174">
        <f>'5 year budget '!Q10+'5 year budget '!Q11+'5 year budget '!Q12+'5 year budget '!Q19+'5 year budget '!Q21+'5 year budget '!Q20</f>
        <v>149816.68</v>
      </c>
      <c r="R7" s="580">
        <f>'5 year budget '!S10+'5 year budget '!S11+'5 year budget '!S12+'5 year budget '!S19+'5 year budget '!S21+'5 year budget '!S20</f>
        <v>157454.11000000002</v>
      </c>
      <c r="S7" s="487">
        <f>'5 year budget '!U10+'5 year budget '!U11+'5 year budget '!U12+'5 year budget '!U19+'5 year budget '!U21+'5 year budget '!U20</f>
        <v>160603.19219999999</v>
      </c>
      <c r="T7" s="589">
        <f>'5 year budget '!W10+'5 year budget '!W11+'5 year budget '!W12+'5 year budget '!W19+'5 year budget '!W21+'5 year budget '!W20</f>
        <v>163985.002404</v>
      </c>
      <c r="U7" s="474">
        <f>'5 year budget '!Y10+'5 year budget '!Y11+'5 year budget '!Y12+'5 year budget '!Y19+'5 year budget '!Y21+'5 year budget '!Y20</f>
        <v>167439.54120288001</v>
      </c>
      <c r="V7" s="174">
        <f>'5 year budget '!AA10+'5 year budget '!AA11+'5 year budget '!AA12+'5 year budget '!AA19+'5 year budget '!AA21+'5 year budget '!AA20</f>
        <v>170968.41594026162</v>
      </c>
      <c r="W7" s="580">
        <f>'5 year budget '!AC10+'5 year budget '!AC11+'5 year budget '!AC12+'5 year budget '!AC19+'5 year budget '!AC21+'5 year budget '!AC20</f>
        <v>174573.27068979057</v>
      </c>
    </row>
    <row r="8" spans="1:23" ht="18.75" customHeight="1" thickBot="1" x14ac:dyDescent="0.3">
      <c r="A8" s="177" t="s">
        <v>159</v>
      </c>
      <c r="B8" s="169">
        <f>'5 year budget '!C13+'5 year budget '!C8+'5 year budget '!C7</f>
        <v>2831.27</v>
      </c>
      <c r="C8" s="170">
        <f>'5 year budget '!D13+'5 year budget '!D8+'5 year budget '!D7+'5 year budget '!D17+'5 year budget '!D22</f>
        <v>11621.399999999998</v>
      </c>
      <c r="D8" s="171">
        <f>(C8-B8)/B8</f>
        <v>3.1046597463329166</v>
      </c>
      <c r="E8" s="172">
        <f>'5 year budget '!E13+'5 year budget '!E8+'5 year budget '!E7+'5 year budget '!E17+'5 year budget '!E22</f>
        <v>1715.76</v>
      </c>
      <c r="F8" s="173">
        <f>(E8-C8)/C8</f>
        <v>-0.85236202178739218</v>
      </c>
      <c r="G8" s="174">
        <f>'5 year budget '!F13+'5 year budget '!F8+'5 year budget '!F7+'5 year budget '!F17+'5 year budget '!F22</f>
        <v>1207.08</v>
      </c>
      <c r="H8" s="175">
        <f>(G8-E8)/E8</f>
        <v>-0.2964750314729333</v>
      </c>
      <c r="I8" s="383">
        <f>'5 year budget '!G13+'5 year budget '!G8+'5 year budget '!G7+'5 year budget '!G17+'5 year budget '!G22+'5 year budget '!G16</f>
        <v>5385.6</v>
      </c>
      <c r="J8" s="384">
        <f>(I8-G8)/G8</f>
        <v>3.4616761109454224</v>
      </c>
      <c r="K8" s="297">
        <f>'5 year budget '!H13+'5 year budget '!H8+'5 year budget '!H7+'5 year budget '!H17+'5 year budget '!H22+'5 year budget '!H16</f>
        <v>2469.2199999999998</v>
      </c>
      <c r="L8" s="298">
        <f>(K8-I8)/I8</f>
        <v>-0.54151440879382062</v>
      </c>
      <c r="M8" s="458">
        <f>'5 year budget '!I13+'5 year budget '!I8+'5 year budget '!I7+'5 year budget '!I17+'5 year budget '!I22</f>
        <v>2771.07</v>
      </c>
      <c r="N8" s="459">
        <f>(M8-K8)/K8</f>
        <v>0.12224508144272296</v>
      </c>
      <c r="O8" s="487">
        <f>'5 year budget '!K13+'5 year budget '!K8+'5 year budget '!K7+'5 year budget '!K17+'5 year budget '!K22</f>
        <v>445.84</v>
      </c>
      <c r="P8" s="501">
        <f>(O8-M8)/M8</f>
        <v>-0.83910908060785183</v>
      </c>
      <c r="Q8" s="174">
        <f>'5 year budget '!Q13+'5 year budget '!Q8+'5 year budget '!Q7+'5 year budget '!Q17+'5 year budget '!Q22</f>
        <v>29518.99</v>
      </c>
      <c r="R8" s="580">
        <f>'5 year budget '!S13+'5 year budget '!S8+'5 year budget '!S7+'5 year budget '!S17+'5 year budget '!S22</f>
        <v>20328.259999999998</v>
      </c>
      <c r="S8" s="487">
        <f>'5 year budget '!U13+'5 year budget '!U8+'5 year budget '!U7+'5 year budget '!U17+'5 year budget '!U22</f>
        <v>3849.4</v>
      </c>
      <c r="T8" s="589">
        <f>'5 year budget '!W13+'5 year budget '!W8+'5 year budget '!W7+'5 year budget '!W17+'5 year budget '!W22</f>
        <v>1662</v>
      </c>
      <c r="U8" s="474">
        <f>'5 year budget '!Y13+'5 year budget '!Y8+'5 year budget '!Y7+'5 year budget '!Y17+'5 year budget '!Y22</f>
        <v>1705</v>
      </c>
      <c r="V8" s="174">
        <f>'5 year budget '!AA13+'5 year budget '!AA8+'5 year budget '!AA7+'5 year budget '!AA17+'5 year budget '!AA22</f>
        <v>1750</v>
      </c>
      <c r="W8" s="580">
        <f>'5 year budget '!AC13+'5 year budget '!AC8+'5 year budget '!AC7+'5 year budget '!AC17+'5 year budget '!AC22</f>
        <v>1750</v>
      </c>
    </row>
    <row r="9" spans="1:23" ht="19.5" customHeight="1" thickTop="1" thickBot="1" x14ac:dyDescent="0.3">
      <c r="A9" s="213" t="s">
        <v>44</v>
      </c>
      <c r="B9" s="431" t="e">
        <f>B4+B6+B7+B8</f>
        <v>#REF!</v>
      </c>
      <c r="C9" s="200" t="e">
        <f>C4+C6+C7+C8</f>
        <v>#REF!</v>
      </c>
      <c r="D9" s="432" t="e">
        <f>(C9-B9)/B9</f>
        <v>#REF!</v>
      </c>
      <c r="E9" s="178" t="e">
        <f>SUM(E4:E8)</f>
        <v>#REF!</v>
      </c>
      <c r="F9" s="433" t="e">
        <f>(E9-C9)/C9</f>
        <v>#REF!</v>
      </c>
      <c r="G9" s="342" t="e">
        <f>G4+G6+G7+G8</f>
        <v>#REF!</v>
      </c>
      <c r="H9" s="434" t="e">
        <f>(G9-E9)/E9</f>
        <v>#REF!</v>
      </c>
      <c r="I9" s="389" t="e">
        <f>I4+I6+I7+I8</f>
        <v>#REF!</v>
      </c>
      <c r="J9" s="435" t="e">
        <f>(I9-G9)/G9</f>
        <v>#REF!</v>
      </c>
      <c r="K9" s="436" t="e">
        <f>K4+K6+K7+K8</f>
        <v>#REF!</v>
      </c>
      <c r="L9" s="437" t="e">
        <f>(K9-I9)/I9</f>
        <v>#REF!</v>
      </c>
      <c r="M9" s="460">
        <f>M4+M6+M7+M8</f>
        <v>160827.22000000003</v>
      </c>
      <c r="N9" s="461">
        <v>-0.04</v>
      </c>
      <c r="O9" s="491">
        <f>O4+O6+O7+O8</f>
        <v>148286.26999999999</v>
      </c>
      <c r="P9" s="502">
        <f>(O9-M9)/M9</f>
        <v>-7.7977782616649338E-2</v>
      </c>
      <c r="Q9" s="342">
        <f>SUM(Q4:Q8)</f>
        <v>233043.25999999998</v>
      </c>
      <c r="R9" s="460">
        <f>SUM(R4:R8)</f>
        <v>265272.61</v>
      </c>
      <c r="S9" s="491">
        <f>SUM(S4:S8)</f>
        <v>258068.09219999998</v>
      </c>
      <c r="T9" s="590">
        <f>SUM(T4:T8)</f>
        <v>204647.002404</v>
      </c>
      <c r="U9" s="475">
        <f>SUM(U4:U8)</f>
        <v>208144.54120288001</v>
      </c>
      <c r="V9" s="342">
        <f>SUM(V4:V8)</f>
        <v>211718.41594026162</v>
      </c>
      <c r="W9" s="623">
        <f>SUM(W4:W8)</f>
        <v>215323.27068979057</v>
      </c>
    </row>
    <row r="10" spans="1:23" ht="22.5" customHeight="1" thickTop="1" thickBot="1" x14ac:dyDescent="0.35">
      <c r="A10" s="179" t="s">
        <v>170</v>
      </c>
      <c r="B10" s="180"/>
      <c r="C10" s="181"/>
      <c r="D10" s="182"/>
      <c r="E10" s="181"/>
      <c r="F10" s="182"/>
      <c r="G10" s="180"/>
      <c r="H10" s="182"/>
      <c r="I10" s="181"/>
      <c r="J10" s="183"/>
      <c r="K10" s="180"/>
      <c r="L10" s="182"/>
      <c r="M10" s="442"/>
      <c r="N10" s="443"/>
      <c r="O10" s="444"/>
      <c r="P10" s="443"/>
      <c r="Q10" s="446"/>
      <c r="R10" s="446"/>
      <c r="S10" s="617" t="s">
        <v>261</v>
      </c>
      <c r="T10" s="444"/>
      <c r="U10" s="444"/>
      <c r="V10" s="444"/>
      <c r="W10" s="444"/>
    </row>
    <row r="11" spans="1:23" ht="18.75" customHeight="1" thickTop="1" x14ac:dyDescent="0.2">
      <c r="A11" s="168" t="s">
        <v>164</v>
      </c>
      <c r="B11" s="184">
        <f>'[1]5 year budget '!C127-'[1]5 year budget '!C104-'[1]5 year budget '!C102-'[1]5 year budget '!C110-'[1]5 year budget '!C94-'[1]5 year budget '!C93-'[1]5 year budget '!C92-'[1]5 year budget '!C91-'[1]5 year budget '!C90</f>
        <v>532006.07999999984</v>
      </c>
      <c r="C11" s="185">
        <f>'5 year budget '!D125-'5 year budget '!D107-'5 year budget '!D101-'5 year budget '!D99-'5 year budget '!D90-'5 year budget '!D89-'5 year budget '!D88-'5 year budget '!D87-'5 year budget '!D86</f>
        <v>521941.98999999987</v>
      </c>
      <c r="D11" s="171">
        <f>(C11-B11)/B11</f>
        <v>-1.8917246208915453E-2</v>
      </c>
      <c r="E11" s="186">
        <f>'5 year budget '!E125-'5 year budget '!E101-'5 year budget '!E99-'5 year budget '!E107-'5 year budget '!E90-'5 year budget '!E89-'5 year budget '!E88-'5 year budget '!E87-'5 year budget '!E86</f>
        <v>540753.77</v>
      </c>
      <c r="F11" s="173">
        <f>(E11-C11)/C11</f>
        <v>3.6041898066105298E-2</v>
      </c>
      <c r="G11" s="187">
        <f>'5 year budget '!F125-'5 year budget '!F101-'5 year budget '!F99-'5 year budget '!F107-'5 year budget '!F90-'5 year budget '!F89-'5 year budget '!F88-'5 year budget '!F87-'5 year budget '!F86</f>
        <v>525311.16999999993</v>
      </c>
      <c r="H11" s="188">
        <f>(G11-E11)/E11</f>
        <v>-2.8557544776803116E-2</v>
      </c>
      <c r="I11" s="385">
        <f>'5 year budget '!G125-'5 year budget '!G101-'5 year budget '!G99-'5 year budget '!G107-'5 year budget '!G90-'5 year budget '!G89-'5 year budget '!G88-'5 year budget '!G87-'5 year budget '!G86</f>
        <v>555422.80000000028</v>
      </c>
      <c r="J11" s="386">
        <f>(I11-G11)/G11</f>
        <v>5.732151098176793E-2</v>
      </c>
      <c r="K11" s="299">
        <f>'5 year budget '!H125-'5 year budget '!H101-'5 year budget '!H99-'5 year budget '!H107-'5 year budget '!H90-'5 year budget '!H89-'5 year budget '!H88-'5 year budget '!H87-'5 year budget '!H86</f>
        <v>581144.86999999976</v>
      </c>
      <c r="L11" s="300">
        <f>(K11-I11)/I11</f>
        <v>4.631079242695739E-2</v>
      </c>
      <c r="M11" s="462">
        <v>655481</v>
      </c>
      <c r="N11" s="463">
        <f>(M11-K11)/K11</f>
        <v>0.12791325164756298</v>
      </c>
      <c r="O11" s="485">
        <f>'5 year budget '!K125-'5 year budget '!K101-'5 year budget '!K99-'5 year budget '!K107-'5 year budget '!K90-'5 year budget '!K89-'5 year budget '!K88-'5 year budget '!K87-'5 year budget '!K86</f>
        <v>607673.33000000007</v>
      </c>
      <c r="P11" s="486">
        <f>(O11-M11)/M11</f>
        <v>-7.2935249076632166E-2</v>
      </c>
      <c r="Q11" s="561">
        <f>'5 year budget '!Q125-'5 year budget '!Q101-'5 year budget '!Q99-'5 year budget '!Q107-'5 year budget '!Q90-'5 year budget '!Q89-'5 year budget '!Q88-'5 year budget '!Q87-'5 year budget '!Q86+'5 year budget '!Q117</f>
        <v>721021.7200000002</v>
      </c>
      <c r="R11" s="581">
        <f>'5 year budget '!S125-'5 year budget '!S99-'5 year budget '!S101-'5 year budget '!S86-'5 year budget '!S87-'5 year budget '!S88-'5 year budget '!S89-'5 year budget '!S90-'5 year budget '!S92-'5 year budget '!S112-'5 year budget '!S113-'5 year budget '!S114-'5 year budget '!S115-'5 year budget '!S116-'5 year budget '!S117-'5 year budget '!S118-'5 year budget '!S119</f>
        <v>742662.46999999974</v>
      </c>
      <c r="S11" s="618">
        <f>'5 year budget '!U125-'5 year budget '!U99-'5 year budget '!U101-'5 year budget '!U86-'5 year budget '!U87-'5 year budget '!U88-'5 year budget '!U89-'5 year budget '!U90-'5 year budget '!U92-'5 year budget '!U112-'5 year budget '!U113-'5 year budget '!U114-'5 year budget '!U115-'5 year budget '!U116-'5 year budget '!U117-'5 year budget '!U118-'5 year budget '!U119</f>
        <v>873382.29280000017</v>
      </c>
      <c r="T11" s="591">
        <f>'5 year budget '!W125-'5 year budget '!W99-'5 year budget '!W101-'5 year budget '!W86-'5 year budget '!W87-'5 year budget '!W88-'5 year budget '!W89-'5 year budget '!W90-'5 year budget '!W92-'5 year budget '!W112-'5 year budget '!W113-'5 year budget '!W114-'5 year budget '!W115-'5 year budget '!W116-'5 year budget '!W117-'5 year budget '!W118-'5 year budget '!W119</f>
        <v>865681.8630839996</v>
      </c>
      <c r="U11" s="477">
        <f>'5 year budget '!Y125-'5 year budget '!Y99-'5 year budget '!Y101-'5 year budget '!Y86-'5 year budget '!Y87-'5 year budget '!Y88-'5 year budget '!Y89-'5 year budget '!Y90-'5 year budget '!Y92-'5 year budget '!Y112-'5 year budget '!Y113-'5 year budget '!Y114-'5 year budget '!Y115-'5 year budget '!Y116-'5 year budget '!Y117-'5 year budget '!Y118-'5 year budget '!Y119</f>
        <v>896472.30897652032</v>
      </c>
      <c r="V11" s="565">
        <f>'5 year budget '!AA125-'5 year budget '!AA99-'5 year budget '!AA101-'5 year budget '!AA86-'5 year budget '!AA87-'5 year budget '!AA88-'5 year budget '!AA89-'5 year budget '!AA90-'5 year budget '!AA92-'5 year budget '!AA112-'5 year budget '!AA113-'5 year budget '!AA114-'5 year budget '!AA115-'5 year budget '!AA116-'5 year budget '!AA117-'5 year budget '!AA118-'5 year budget '!AA119</f>
        <v>914810.53574581561</v>
      </c>
      <c r="W11" s="581">
        <f>'5 year budget '!AC125-'5 year budget '!AC99-'5 year budget '!AC101-'5 year budget '!AC86-'5 year budget '!AC87-'5 year budget '!AC88-'5 year budget '!AC89-'5 year budget '!AC90-'5 year budget '!AC92-'5 year budget '!AC112-'5 year budget '!AC113-'5 year budget '!AC114-'5 year budget '!AC115-'5 year budget '!AC116-'5 year budget '!AC117-'5 year budget '!AC118-'5 year budget '!AC119</f>
        <v>933772.71799319028</v>
      </c>
    </row>
    <row r="12" spans="1:23" ht="18.75" customHeight="1" x14ac:dyDescent="0.2">
      <c r="A12" s="177" t="s">
        <v>171</v>
      </c>
      <c r="B12" s="169">
        <f>'5 year budget '!C99+'5 year budget '!C101</f>
        <v>30902.269999999997</v>
      </c>
      <c r="C12" s="176">
        <f>'5 year budget '!D99+'5 year budget '!D101</f>
        <v>28512.850000000002</v>
      </c>
      <c r="D12" s="171">
        <f>(C12-B12)/B12</f>
        <v>-7.7321827813943603E-2</v>
      </c>
      <c r="E12" s="172">
        <f>'5 year budget '!E99+'5 year budget '!E101</f>
        <v>28978.74</v>
      </c>
      <c r="F12" s="173">
        <f>(E12-C12)/C12</f>
        <v>1.6339650368167313E-2</v>
      </c>
      <c r="G12" s="174">
        <f>'5 year budget '!F99+'5 year budget '!F101</f>
        <v>28755.93</v>
      </c>
      <c r="H12" s="175">
        <f>(G12-E12)/E12</f>
        <v>-7.6887400901488922E-3</v>
      </c>
      <c r="I12" s="383">
        <f>'5 year budget '!G99+'5 year budget '!G101</f>
        <v>33391.480000000003</v>
      </c>
      <c r="J12" s="386">
        <f>(I12-G12)/G12</f>
        <v>0.16120327181210981</v>
      </c>
      <c r="K12" s="297">
        <f>'5 year budget '!H99+'5 year budget '!H101</f>
        <v>31602.55</v>
      </c>
      <c r="L12" s="300">
        <f>(K12-I12)/I12</f>
        <v>-5.3574444738598105E-2</v>
      </c>
      <c r="M12" s="464">
        <f>'5 year budget '!I99+'5 year budget '!I101</f>
        <v>32270.28</v>
      </c>
      <c r="N12" s="463">
        <f>(M12-K12)/K12</f>
        <v>2.1128991173180633E-2</v>
      </c>
      <c r="O12" s="487">
        <f>'5 year budget '!K99+'5 year budget '!K101</f>
        <v>11858.76</v>
      </c>
      <c r="P12" s="488">
        <f>(O12-M12)/M12</f>
        <v>-0.63251759823589992</v>
      </c>
      <c r="Q12" s="174">
        <f>'5 year budget '!Q99+'5 year budget '!Q101</f>
        <v>14243.64</v>
      </c>
      <c r="R12" s="580">
        <f>'5 year budget '!S99+'5 year budget '!S101</f>
        <v>31794.87</v>
      </c>
      <c r="S12" s="487">
        <f>'5 year budget '!U99+'5 year budget '!U101</f>
        <v>34000</v>
      </c>
      <c r="T12" s="589">
        <f>'5 year budget '!W99+'5 year budget '!W101</f>
        <v>38000</v>
      </c>
      <c r="U12" s="474">
        <f>'5 year budget '!Y99+'5 year budget '!Y101</f>
        <v>38400</v>
      </c>
      <c r="V12" s="174">
        <f>'5 year budget '!AA99+'5 year budget '!AA101</f>
        <v>38500</v>
      </c>
      <c r="W12" s="580">
        <f>'5 year budget '!AC99+'5 year budget '!AC101</f>
        <v>38500</v>
      </c>
    </row>
    <row r="13" spans="1:23" ht="18.75" customHeight="1" x14ac:dyDescent="0.2">
      <c r="A13" s="177" t="s">
        <v>172</v>
      </c>
      <c r="B13" s="169">
        <f>'5 year budget '!C86+'5 year budget '!C87+'5 year budget '!C88+'5 year budget '!C89+'5 year budget '!C90+'5 year budget '!C107</f>
        <v>36449.53</v>
      </c>
      <c r="C13" s="176">
        <f>'5 year budget '!D86+'5 year budget '!D87+'5 year budget '!D88+'5 year budget '!D89+'5 year budget '!D107+'5 year budget '!D90</f>
        <v>37942.469999999994</v>
      </c>
      <c r="D13" s="171">
        <f>(C13-B13)/B13</f>
        <v>4.0959101530252791E-2</v>
      </c>
      <c r="E13" s="172">
        <f>'5 year budget '!E86+'5 year budget '!E87+'5 year budget '!E88+'5 year budget '!E89+'5 year budget '!E90+'5 year budget '!E107</f>
        <v>41597.24</v>
      </c>
      <c r="F13" s="173">
        <f>(E13-C13)/C13</f>
        <v>9.6323987341889045E-2</v>
      </c>
      <c r="G13" s="174">
        <f>'5 year budget '!F86+'5 year budget '!F87+'5 year budget '!F88+'5 year budget '!F89+'5 year budget '!F90+'5 year budget '!F107</f>
        <v>40405.800000000003</v>
      </c>
      <c r="H13" s="175">
        <f>(G13-E13)/E13</f>
        <v>-2.864228492082636E-2</v>
      </c>
      <c r="I13" s="383">
        <f>'5 year budget '!G86+'5 year budget '!G87+'5 year budget '!G88+'5 year budget '!G89+'5 year budget '!G107+'5 year budget '!G90</f>
        <v>37875.579999999994</v>
      </c>
      <c r="J13" s="386">
        <f>(I13-G13)/G13</f>
        <v>-6.2620217889511109E-2</v>
      </c>
      <c r="K13" s="297">
        <f>'5 year budget '!H86+'5 year budget '!H87+'5 year budget '!H88+'5 year budget '!H89+'5 year budget '!H107+'5 year budget '!H90</f>
        <v>35158.370000000003</v>
      </c>
      <c r="L13" s="300">
        <f>(K13-I13)/I13</f>
        <v>-7.1740419552650869E-2</v>
      </c>
      <c r="M13" s="464">
        <f>'5 year budget '!I86+'5 year budget '!I87+'5 year budget '!I88+'5 year budget '!I89+'5 year budget '!I107+'5 year budget '!I90</f>
        <v>30718.589999999997</v>
      </c>
      <c r="N13" s="463">
        <f>(M13-K13)/K13</f>
        <v>-0.1262794606234591</v>
      </c>
      <c r="O13" s="487">
        <f>'5 year budget '!K86+'5 year budget '!K87+'5 year budget '!K88+'5 year budget '!K89+'5 year budget '!K107+'5 year budget '!K90</f>
        <v>23599.37</v>
      </c>
      <c r="P13" s="488">
        <f>(O13-M13)/M13</f>
        <v>-0.23175607995028413</v>
      </c>
      <c r="Q13" s="174">
        <f>'5 year budget '!Q86+'5 year budget '!Q87+'5 year budget '!Q88+'5 year budget '!Q89+'5 year budget '!Q90+'5 year budget '!Q107</f>
        <v>27025.480000000003</v>
      </c>
      <c r="R13" s="580">
        <f>'5 year budget '!S86+'5 year budget '!S87+'5 year budget '!S88+'5 year budget '!S89+'5 year budget '!S90+'5 year budget '!S92+'5 year budget '!S112+'5 year budget '!S113+'5 year budget '!S114+'5 year budget '!S115+'5 year budget '!S116+'5 year budget '!S117+'5 year budget '!S118+'5 year budget '!S119</f>
        <v>51530.97</v>
      </c>
      <c r="S13" s="487">
        <f>'5 year budget '!U86+'5 year budget '!U87+'5 year budget '!U88+'5 year budget '!U89+'5 year budget '!U90+'5 year budget '!U92+'5 year budget '!U112+'5 year budget '!U113+'5 year budget '!U114+'5 year budget '!U115+'5 year budget '!U116+'5 year budget '!U117+'5 year budget '!U118+'5 year budget '!U119</f>
        <v>127109</v>
      </c>
      <c r="T13" s="592">
        <f>'5 year budget '!W86+'5 year budget '!W87+'5 year budget '!W88+'5 year budget '!W89+'5 year budget '!W90+'5 year budget '!W92+'5 year budget '!W112+'5 year budget '!W113+'5 year budget '!W114+'5 year budget '!W115+'5 year budget '!W116+'5 year budget '!W117+'5 year budget '!W118+'5 year budget '!W119</f>
        <v>71576.14</v>
      </c>
      <c r="U13" s="474">
        <f>'5 year budget '!Y86+'5 year budget '!Y87+'5 year budget '!Y88+'5 year budget '!Y89+'5 year budget '!Y90+'5 year budget '!Y92+'5 year budget '!Y112+'5 year budget '!Y113+'5 year budget '!Y114+'5 year budget '!Y115+'5 year budget '!Y116+'5 year budget '!Y117+'5 year budget '!Y118+'5 year budget '!Y119</f>
        <v>72130.424200000009</v>
      </c>
      <c r="V13" s="573">
        <f>'5 year budget '!AA86+'5 year budget '!AA87+'5 year budget '!AA88+'5 year budget '!AA89+'5 year budget '!AA90+'5 year budget '!AA92+'5 year budget '!AA112+'5 year budget '!AA113+'5 year budget '!AA114+'5 year budget '!AA115+'5 year budget '!AA116+'5 year budget '!AA117+'5 year budget '!AA118+'5 year budget '!AA119</f>
        <v>72701.336926000004</v>
      </c>
      <c r="W13" s="604">
        <f>'5 year budget '!AC86+'5 year budget '!AC87+'5 year budget '!AC88+'5 year budget '!AC89+'5 year budget '!AC90+'5 year budget '!AC92+'5 year budget '!AC112+'5 year budget '!AC113+'5 year budget '!AC114+'5 year budget '!AC115+'5 year budget '!AC116+'5 year budget '!AC117+'5 year budget '!AC118+'5 year budget '!AC119</f>
        <v>73289.377033780009</v>
      </c>
    </row>
    <row r="14" spans="1:23" ht="18.75" customHeight="1" x14ac:dyDescent="0.25">
      <c r="A14" s="448" t="s">
        <v>173</v>
      </c>
      <c r="B14" s="189">
        <f>B11+B12+B13</f>
        <v>599357.87999999989</v>
      </c>
      <c r="C14" s="190">
        <f>C11+C12+C13</f>
        <v>588397.30999999982</v>
      </c>
      <c r="D14" s="191"/>
      <c r="E14" s="192">
        <f>E11+E12+E13</f>
        <v>611329.75</v>
      </c>
      <c r="F14" s="193"/>
      <c r="G14" s="194">
        <f>G11+G12+G13</f>
        <v>594472.9</v>
      </c>
      <c r="H14" s="195"/>
      <c r="I14" s="387">
        <f>I11+I12+I13</f>
        <v>626689.86000000022</v>
      </c>
      <c r="J14" s="388"/>
      <c r="K14" s="301">
        <f>K11+K12+K13</f>
        <v>647905.7899999998</v>
      </c>
      <c r="L14" s="302"/>
      <c r="M14" s="465">
        <f>M11+M12+M13</f>
        <v>718469.87</v>
      </c>
      <c r="N14" s="466"/>
      <c r="O14" s="489">
        <f>O11+O12+O13</f>
        <v>643131.46000000008</v>
      </c>
      <c r="P14" s="490"/>
      <c r="Q14" s="194">
        <f>Q11+Q12+Q13</f>
        <v>762290.8400000002</v>
      </c>
      <c r="R14" s="465">
        <f>R11+R12+R13</f>
        <v>825988.30999999971</v>
      </c>
      <c r="S14" s="489">
        <f>S11+S12+S13</f>
        <v>1034491.2928000002</v>
      </c>
      <c r="T14" s="593">
        <f>T11+T12+T13</f>
        <v>975258.00308399962</v>
      </c>
      <c r="U14" s="476">
        <f>U11+U12+U13</f>
        <v>1007002.7331765203</v>
      </c>
      <c r="V14" s="194">
        <f>V11+V12+V13</f>
        <v>1026011.8726718156</v>
      </c>
      <c r="W14" s="465">
        <f>W11+W12+W13</f>
        <v>1045562.0950269703</v>
      </c>
    </row>
    <row r="15" spans="1:23" ht="18.75" customHeight="1" x14ac:dyDescent="0.2">
      <c r="A15" s="177" t="s">
        <v>175</v>
      </c>
      <c r="B15" s="169">
        <f>'5 year budget '!C146</f>
        <v>86520.88</v>
      </c>
      <c r="C15" s="176">
        <f>'5 year budget '!D146</f>
        <v>78991.950000000026</v>
      </c>
      <c r="D15" s="171">
        <f>(C15-B15)/B15</f>
        <v>-8.7018647984162645E-2</v>
      </c>
      <c r="E15" s="172">
        <f>'5 year budget '!E146</f>
        <v>90765.18</v>
      </c>
      <c r="F15" s="173">
        <f>(E15-C15)/C15</f>
        <v>0.14904341518344544</v>
      </c>
      <c r="G15" s="174">
        <f>'5 year budget '!F146</f>
        <v>72724.639999999985</v>
      </c>
      <c r="H15" s="175">
        <f>(G15-E15)/E15</f>
        <v>-0.1987605819764805</v>
      </c>
      <c r="I15" s="383">
        <f>'5 year budget '!G146</f>
        <v>72383.310000000012</v>
      </c>
      <c r="J15" s="386">
        <f>(I15-G15)/G15</f>
        <v>-4.6934574031576191E-3</v>
      </c>
      <c r="K15" s="297">
        <f>'5 year budget '!H146</f>
        <v>77510.320000000022</v>
      </c>
      <c r="L15" s="300">
        <f>(K15-I15)/I15</f>
        <v>7.0831383643549989E-2</v>
      </c>
      <c r="M15" s="464">
        <f>'5 year budget '!I146</f>
        <v>77122.700000000012</v>
      </c>
      <c r="N15" s="463">
        <f>(M15-K15)/K15</f>
        <v>-5.0008824631353581E-3</v>
      </c>
      <c r="O15" s="487">
        <f>'5 year budget '!K146</f>
        <v>74659.929999999993</v>
      </c>
      <c r="P15" s="488">
        <f>(O15-M15)/M15</f>
        <v>-3.1933140307588016E-2</v>
      </c>
      <c r="Q15" s="174">
        <f>'5 year budget '!Q146</f>
        <v>79721.919999999998</v>
      </c>
      <c r="R15" s="580">
        <f>'5 year budget '!S146</f>
        <v>102244.09</v>
      </c>
      <c r="S15" s="487">
        <f>'5 year budget '!U146</f>
        <v>107116</v>
      </c>
      <c r="T15" s="589">
        <f>'5 year budget '!W146</f>
        <v>116612.04</v>
      </c>
      <c r="U15" s="474">
        <f>'5 year budget '!Y146</f>
        <v>120982.40120000001</v>
      </c>
      <c r="V15" s="174">
        <f>'5 year budget '!AA146</f>
        <v>124392.22323600001</v>
      </c>
      <c r="W15" s="580">
        <f>'5 year budget '!AC146</f>
        <v>127344.50743308</v>
      </c>
    </row>
    <row r="16" spans="1:23" ht="18.75" customHeight="1" x14ac:dyDescent="0.2">
      <c r="A16" s="177" t="s">
        <v>178</v>
      </c>
      <c r="B16" s="169">
        <f>'5 year budget '!C165</f>
        <v>37352.649999999994</v>
      </c>
      <c r="C16" s="176">
        <f>'5 year budget '!D165</f>
        <v>32219.160000000003</v>
      </c>
      <c r="D16" s="171">
        <f>(C16-B16)/B16</f>
        <v>-0.13743308707682028</v>
      </c>
      <c r="E16" s="172">
        <f>'5 year budget '!E165</f>
        <v>34078.86</v>
      </c>
      <c r="F16" s="173">
        <f>(E16-C16)/C16</f>
        <v>5.772031300629802E-2</v>
      </c>
      <c r="G16" s="174">
        <f>'5 year budget '!F165</f>
        <v>34854.310000000005</v>
      </c>
      <c r="H16" s="175">
        <f>(G16-E16)/E16</f>
        <v>2.2754575710572607E-2</v>
      </c>
      <c r="I16" s="383">
        <f>'5 year budget '!G165</f>
        <v>29006.59</v>
      </c>
      <c r="J16" s="386">
        <f>(I16-G16)/G16</f>
        <v>-0.16777609426208706</v>
      </c>
      <c r="K16" s="297">
        <f>'5 year budget '!H165</f>
        <v>38988.47</v>
      </c>
      <c r="L16" s="300">
        <f>(K16-I16)/I16</f>
        <v>0.34412455928118407</v>
      </c>
      <c r="M16" s="464">
        <f>'5 year budget '!I165</f>
        <v>42571.710000000006</v>
      </c>
      <c r="N16" s="463">
        <f>(M16-K16)/K16</f>
        <v>9.1905119641781413E-2</v>
      </c>
      <c r="O16" s="487">
        <f>'5 year budget '!K165</f>
        <v>34767.429999999993</v>
      </c>
      <c r="P16" s="488">
        <f>(O16-M16)/M16</f>
        <v>-0.18332080153698341</v>
      </c>
      <c r="Q16" s="174">
        <f>'5 year budget '!Q165</f>
        <v>39097.790000000008</v>
      </c>
      <c r="R16" s="580">
        <f>'5 year budget '!S165</f>
        <v>44187.96</v>
      </c>
      <c r="S16" s="487">
        <f>'5 year budget '!U165</f>
        <v>55671</v>
      </c>
      <c r="T16" s="589">
        <f>'5 year budget '!W165</f>
        <v>56064.05</v>
      </c>
      <c r="U16" s="474">
        <f>'5 year budget '!Y165</f>
        <v>58693.526500000007</v>
      </c>
      <c r="V16" s="174">
        <f>'5 year budget '!AA165</f>
        <v>60278.81504500001</v>
      </c>
      <c r="W16" s="580">
        <f>'5 year budget '!AC165</f>
        <v>61922.086383850008</v>
      </c>
    </row>
    <row r="17" spans="1:24" ht="18.75" customHeight="1" x14ac:dyDescent="0.2">
      <c r="A17" s="177" t="s">
        <v>179</v>
      </c>
      <c r="B17" s="169">
        <f>'5 year budget '!C184</f>
        <v>83292.700000000012</v>
      </c>
      <c r="C17" s="176">
        <f>'5 year budget '!D184</f>
        <v>77628.740000000005</v>
      </c>
      <c r="D17" s="171">
        <f>(C17-B17)/B17</f>
        <v>-6.8000677130168732E-2</v>
      </c>
      <c r="E17" s="172">
        <f>'5 year budget '!E184</f>
        <v>79077.779999999984</v>
      </c>
      <c r="F17" s="173">
        <f>(E17-C17)/C17</f>
        <v>1.8666282616463682E-2</v>
      </c>
      <c r="G17" s="174">
        <f>'5 year budget '!F184</f>
        <v>74662.930000000008</v>
      </c>
      <c r="H17" s="175">
        <f>(G17-E17)/E17</f>
        <v>-5.5829210177624836E-2</v>
      </c>
      <c r="I17" s="383">
        <f>'5 year budget '!G184</f>
        <v>83287.759999999995</v>
      </c>
      <c r="J17" s="386">
        <f>(I17-G17)/G17</f>
        <v>0.11551689707328638</v>
      </c>
      <c r="K17" s="297">
        <f>'5 year budget '!H184</f>
        <v>81624.179999999993</v>
      </c>
      <c r="L17" s="300">
        <f>(K17-I17)/I17</f>
        <v>-1.997388331730859E-2</v>
      </c>
      <c r="M17" s="464">
        <f>'5 year budget '!I184</f>
        <v>82780.890000000014</v>
      </c>
      <c r="N17" s="463">
        <f>(M17-K17)/K17</f>
        <v>1.4171168396423964E-2</v>
      </c>
      <c r="O17" s="487">
        <f>'5 year budget '!K184</f>
        <v>82295.899999999994</v>
      </c>
      <c r="P17" s="488">
        <f>(O17-M17)/M17</f>
        <v>-5.8587193251971523E-3</v>
      </c>
      <c r="Q17" s="174">
        <f>'5 year budget '!Q184</f>
        <v>113449.56999999999</v>
      </c>
      <c r="R17" s="580">
        <f>'5 year budget '!S184</f>
        <v>99247.53</v>
      </c>
      <c r="S17" s="487">
        <f>'5 year budget '!U184</f>
        <v>109688.47</v>
      </c>
      <c r="T17" s="589">
        <f>'5 year budget '!W184</f>
        <v>113429.0341</v>
      </c>
      <c r="U17" s="474">
        <f>'5 year budget '!Y184</f>
        <v>117733.86512300001</v>
      </c>
      <c r="V17" s="174">
        <f>'5 year budget '!AA184</f>
        <v>121354.47707668999</v>
      </c>
      <c r="W17" s="580">
        <f>'5 year budget '!AC184</f>
        <v>125117.00918899072</v>
      </c>
    </row>
    <row r="18" spans="1:24" ht="18.75" customHeight="1" x14ac:dyDescent="0.25">
      <c r="A18" s="448" t="s">
        <v>174</v>
      </c>
      <c r="B18" s="189">
        <f>B15+B16+B17</f>
        <v>207166.23</v>
      </c>
      <c r="C18" s="190">
        <f>C15+C16+C17</f>
        <v>188839.85000000003</v>
      </c>
      <c r="D18" s="191"/>
      <c r="E18" s="192">
        <f>E15+E16+E17</f>
        <v>203921.81999999998</v>
      </c>
      <c r="F18" s="193"/>
      <c r="G18" s="194">
        <f>G15+G16+G17</f>
        <v>182241.88</v>
      </c>
      <c r="H18" s="195"/>
      <c r="I18" s="387">
        <f>I15+I16+I17</f>
        <v>184677.66</v>
      </c>
      <c r="J18" s="388"/>
      <c r="K18" s="301">
        <f>K15+K16+K17</f>
        <v>198122.97000000003</v>
      </c>
      <c r="L18" s="302"/>
      <c r="M18" s="465">
        <f>M15+M16+M17</f>
        <v>202475.30000000005</v>
      </c>
      <c r="N18" s="466"/>
      <c r="O18" s="489">
        <f>O15+O16+O17</f>
        <v>191723.25999999998</v>
      </c>
      <c r="P18" s="490"/>
      <c r="Q18" s="194">
        <f>Q15+Q16+Q17</f>
        <v>232269.28</v>
      </c>
      <c r="R18" s="465">
        <f>R15+R16+R17</f>
        <v>245679.58</v>
      </c>
      <c r="S18" s="489">
        <f>S15+S16+S17</f>
        <v>272475.46999999997</v>
      </c>
      <c r="T18" s="593">
        <f>T15+T16+T17</f>
        <v>286105.12410000002</v>
      </c>
      <c r="U18" s="476">
        <f>U15+U16+U17</f>
        <v>297409.792823</v>
      </c>
      <c r="V18" s="194">
        <f>V15+V16+V17</f>
        <v>306025.51535768999</v>
      </c>
      <c r="W18" s="465">
        <f>W15+W16+W17</f>
        <v>314383.60300592077</v>
      </c>
    </row>
    <row r="19" spans="1:24" ht="18.75" customHeight="1" x14ac:dyDescent="0.2">
      <c r="A19" s="177" t="s">
        <v>181</v>
      </c>
      <c r="B19" s="169">
        <f>'5 year budget '!C204</f>
        <v>22845.600000000002</v>
      </c>
      <c r="C19" s="176">
        <f>'5 year budget '!D204</f>
        <v>33528.229999999996</v>
      </c>
      <c r="D19" s="171">
        <f>(C19-B19)/B19</f>
        <v>0.46760120110655851</v>
      </c>
      <c r="E19" s="172">
        <f>'5 year budget '!E204</f>
        <v>13001.569999999998</v>
      </c>
      <c r="F19" s="173">
        <f>(E19-C19)/C19</f>
        <v>-0.61222020965616131</v>
      </c>
      <c r="G19" s="174">
        <f>'5 year budget '!F204</f>
        <v>14821.869999999999</v>
      </c>
      <c r="H19" s="175">
        <f>(G19-E19)/E19</f>
        <v>0.14000616848580605</v>
      </c>
      <c r="I19" s="383">
        <f>'5 year budget '!G204</f>
        <v>18661.54</v>
      </c>
      <c r="J19" s="386">
        <f>(I19-G19)/G19</f>
        <v>0.25905435683891453</v>
      </c>
      <c r="K19" s="297">
        <f>'5 year budget '!H204</f>
        <v>45046.320000000007</v>
      </c>
      <c r="L19" s="300">
        <f>(K19-I19)/I19</f>
        <v>1.4138586633257493</v>
      </c>
      <c r="M19" s="464">
        <f>'5 year budget '!I204</f>
        <v>13775.380000000001</v>
      </c>
      <c r="N19" s="463">
        <f>(M19-K19)/K19</f>
        <v>-0.69419521949850738</v>
      </c>
      <c r="O19" s="487">
        <f>'5 year budget '!K204</f>
        <v>7591.08</v>
      </c>
      <c r="P19" s="488">
        <f>(O19-M19)/M19</f>
        <v>-0.4489386136716374</v>
      </c>
      <c r="Q19" s="174">
        <f>'5 year budget '!Q204</f>
        <v>28125.27</v>
      </c>
      <c r="R19" s="580">
        <f>'5 year budget '!S204</f>
        <v>122412.47</v>
      </c>
      <c r="S19" s="487">
        <f>'5 year budget '!U204</f>
        <v>26113.52</v>
      </c>
      <c r="T19" s="589">
        <f>'5 year budget '!W204</f>
        <v>24005</v>
      </c>
      <c r="U19" s="474">
        <f>'5 year budget '!Y204</f>
        <v>24098</v>
      </c>
      <c r="V19" s="174">
        <f>'5 year budget '!AA204</f>
        <v>24194</v>
      </c>
      <c r="W19" s="580">
        <f>'5 year budget '!AC204</f>
        <v>24194</v>
      </c>
    </row>
    <row r="20" spans="1:24" ht="18.75" customHeight="1" thickBot="1" x14ac:dyDescent="0.25">
      <c r="A20" s="177" t="s">
        <v>180</v>
      </c>
      <c r="B20" s="169">
        <f>'5 year budget '!C226</f>
        <v>10006</v>
      </c>
      <c r="C20" s="176">
        <f>'5 year budget '!D226</f>
        <v>30782.02</v>
      </c>
      <c r="D20" s="171">
        <v>0</v>
      </c>
      <c r="E20" s="196">
        <f>'5 year budget '!E226</f>
        <v>278880.34000000003</v>
      </c>
      <c r="F20" s="173">
        <v>0</v>
      </c>
      <c r="G20" s="197">
        <f>'5 year budget '!F226</f>
        <v>45991.630000000005</v>
      </c>
      <c r="H20" s="198">
        <v>0</v>
      </c>
      <c r="I20" s="383">
        <f>'5 year budget '!G226</f>
        <v>15596.83</v>
      </c>
      <c r="J20" s="386">
        <v>0</v>
      </c>
      <c r="K20" s="297">
        <f>'5 year budget '!H226</f>
        <v>71264.77</v>
      </c>
      <c r="L20" s="300">
        <v>0</v>
      </c>
      <c r="M20" s="464">
        <f>'5 year budget '!I226</f>
        <v>54849</v>
      </c>
      <c r="N20" s="463">
        <v>0</v>
      </c>
      <c r="O20" s="487">
        <f>'5 year budget '!K226</f>
        <v>-583.26</v>
      </c>
      <c r="P20" s="488">
        <v>0</v>
      </c>
      <c r="Q20" s="562">
        <f>'5 year budget '!Q226</f>
        <v>35252.86</v>
      </c>
      <c r="R20" s="582">
        <f>'5 year budget '!S226</f>
        <v>85351.88</v>
      </c>
      <c r="S20" s="619">
        <f>'5 year budget '!U226</f>
        <v>98411.05</v>
      </c>
      <c r="T20" s="594">
        <f>'5 year budget '!W226</f>
        <v>0</v>
      </c>
      <c r="U20" s="478">
        <f>'5 year budget '!Y226</f>
        <v>0</v>
      </c>
      <c r="V20" s="562">
        <f>'5 year budget '!AA226</f>
        <v>0</v>
      </c>
      <c r="W20" s="605">
        <f>'5 year budget '!AC226</f>
        <v>0</v>
      </c>
    </row>
    <row r="21" spans="1:24" ht="18.75" customHeight="1" thickTop="1" thickBot="1" x14ac:dyDescent="0.3">
      <c r="A21" s="449" t="s">
        <v>291</v>
      </c>
      <c r="B21" s="199">
        <f>B20+B19+B18+B14</f>
        <v>839375.71</v>
      </c>
      <c r="C21" s="200">
        <f>C20+C19+C18+C14</f>
        <v>841547.40999999992</v>
      </c>
      <c r="D21" s="201">
        <f>(C21-B21)/B21</f>
        <v>2.5872800155248162E-3</v>
      </c>
      <c r="E21" s="178">
        <f>E20+E19+E18+E14</f>
        <v>1107133.48</v>
      </c>
      <c r="F21" s="202">
        <f>(E21-C21)/C21</f>
        <v>0.31559252258883441</v>
      </c>
      <c r="G21" s="203">
        <f>G20+G19+G18+G14</f>
        <v>837528.28</v>
      </c>
      <c r="H21" s="204">
        <f>(G21-E21)/E21</f>
        <v>-0.2435164366992135</v>
      </c>
      <c r="I21" s="389">
        <f>I20+I19+I18+I14</f>
        <v>845625.89000000025</v>
      </c>
      <c r="J21" s="390">
        <f>(I21-G21)/G21</f>
        <v>9.6684615831721145E-3</v>
      </c>
      <c r="K21" s="303">
        <f>K20+K19+K18+K14</f>
        <v>962339.84999999986</v>
      </c>
      <c r="L21" s="304">
        <f>(K21-I21)/I21</f>
        <v>0.13802079782585605</v>
      </c>
      <c r="M21" s="460">
        <f>M20+M19+M18+M14</f>
        <v>989569.55</v>
      </c>
      <c r="N21" s="467">
        <f>(M21-K21)/K21</f>
        <v>2.8295305447446857E-2</v>
      </c>
      <c r="O21" s="491">
        <f>O20+O19+O18+O14</f>
        <v>841862.54</v>
      </c>
      <c r="P21" s="492">
        <f>(O21-M21)/M21</f>
        <v>-0.14926389964202111</v>
      </c>
      <c r="Q21" s="342">
        <f>Q20+Q19+Q18+Q14</f>
        <v>1057938.2500000002</v>
      </c>
      <c r="R21" s="460">
        <f>R20+R19+R18+R14</f>
        <v>1279432.2399999998</v>
      </c>
      <c r="S21" s="491">
        <f>S20+S19+S18+S14</f>
        <v>1431491.3328000002</v>
      </c>
      <c r="T21" s="590">
        <f>T20+T19+T18+T14</f>
        <v>1285368.1271839996</v>
      </c>
      <c r="U21" s="475">
        <f>U20+U19+U18+U14</f>
        <v>1328510.5259995204</v>
      </c>
      <c r="V21" s="342">
        <f>V20+V19+V18+V14</f>
        <v>1356231.3880295055</v>
      </c>
      <c r="W21" s="623">
        <f>W20+W19+W18+W14</f>
        <v>1384139.6980328909</v>
      </c>
    </row>
    <row r="22" spans="1:24" ht="39" customHeight="1" thickTop="1" thickBot="1" x14ac:dyDescent="0.3">
      <c r="A22" s="205" t="s">
        <v>2</v>
      </c>
      <c r="B22" s="206">
        <f>'5 year budget '!C267</f>
        <v>44914.2</v>
      </c>
      <c r="C22" s="207">
        <f>'5 year budget '!D267</f>
        <v>175921.45999999996</v>
      </c>
      <c r="D22" s="208"/>
      <c r="E22" s="209">
        <f>'5 year budget '!E267</f>
        <v>87665.040000000037</v>
      </c>
      <c r="F22" s="210"/>
      <c r="G22" s="211">
        <f>'5 year budget '!F267</f>
        <v>103912.94999999995</v>
      </c>
      <c r="H22" s="212"/>
      <c r="I22" s="391">
        <f>'5 year budget '!G267</f>
        <v>133653.10000000009</v>
      </c>
      <c r="J22" s="392"/>
      <c r="K22" s="305">
        <f>'5 year budget '!H267</f>
        <v>-67935.290000000037</v>
      </c>
      <c r="L22" s="306"/>
      <c r="M22" s="468">
        <f>'5 year budget '!I267</f>
        <v>-182953.33000000007</v>
      </c>
      <c r="N22" s="469"/>
      <c r="O22" s="493">
        <f>'5 year budget '!K267</f>
        <v>214006.44999999995</v>
      </c>
      <c r="P22" s="494"/>
      <c r="Q22" s="563">
        <f>'5 year budget '!Q267</f>
        <v>-102804.59999999986</v>
      </c>
      <c r="R22" s="583">
        <f>'5 year budget '!S267</f>
        <v>-92399.119999999879</v>
      </c>
      <c r="S22" s="493">
        <f>'5 year budget '!U267</f>
        <v>-213634.35000000009</v>
      </c>
      <c r="T22" s="595">
        <f>'5 year budget '!W267</f>
        <v>-45000</v>
      </c>
      <c r="U22" s="479">
        <f>'5 year budget '!Y267</f>
        <v>5000</v>
      </c>
      <c r="V22" s="563">
        <f>'5 year budget '!AA267</f>
        <v>5000</v>
      </c>
      <c r="W22" s="468">
        <f>'5 year budget '!AC267</f>
        <v>5000</v>
      </c>
    </row>
    <row r="23" spans="1:24" ht="18.75" customHeight="1" thickTop="1" thickBot="1" x14ac:dyDescent="0.3">
      <c r="A23" s="213" t="s">
        <v>141</v>
      </c>
      <c r="B23" s="431">
        <f>B21+B22</f>
        <v>884289.90999999992</v>
      </c>
      <c r="C23" s="200">
        <f>C21+C22</f>
        <v>1017468.8699999999</v>
      </c>
      <c r="D23" s="432">
        <f>(C23-B23)/B23</f>
        <v>0.15060554066482559</v>
      </c>
      <c r="E23" s="178">
        <f>E21+E22</f>
        <v>1194798.52</v>
      </c>
      <c r="F23" s="433">
        <f>(E23-C23)/C23</f>
        <v>0.17428508648131924</v>
      </c>
      <c r="G23" s="342">
        <f>G21+G22</f>
        <v>941441.23</v>
      </c>
      <c r="H23" s="434">
        <f>(G23-E23)/E23</f>
        <v>-0.21205022081882061</v>
      </c>
      <c r="I23" s="389">
        <f>I21+I22</f>
        <v>979278.99000000034</v>
      </c>
      <c r="J23" s="390">
        <f>(I23-G23)/G23</f>
        <v>4.0191313907083033E-2</v>
      </c>
      <c r="K23" s="436">
        <f>K21+K22</f>
        <v>894404.55999999982</v>
      </c>
      <c r="L23" s="438">
        <f>(K23-I23)/I23</f>
        <v>-8.6670326706386802E-2</v>
      </c>
      <c r="M23" s="460">
        <f>M21+M22</f>
        <v>806616.22</v>
      </c>
      <c r="N23" s="467">
        <f>(M23-K23)/K23</f>
        <v>-9.8152831421163447E-2</v>
      </c>
      <c r="O23" s="491">
        <f>O21+O22</f>
        <v>1055868.99</v>
      </c>
      <c r="P23" s="492">
        <f>(O23-M23)/M23</f>
        <v>0.30901036182981795</v>
      </c>
      <c r="Q23" s="342">
        <f>Q21+Q22</f>
        <v>955133.65000000037</v>
      </c>
      <c r="R23" s="460">
        <f>R21+R22</f>
        <v>1187033.1199999999</v>
      </c>
      <c r="S23" s="491">
        <f>S21+S22</f>
        <v>1217856.9828000001</v>
      </c>
      <c r="T23" s="430">
        <f>T21+T22</f>
        <v>1240368.1271839996</v>
      </c>
      <c r="U23" s="624">
        <f>U21+U22</f>
        <v>1333510.5259995204</v>
      </c>
      <c r="V23" s="342">
        <f>V21+V22</f>
        <v>1361231.3880295055</v>
      </c>
      <c r="W23" s="623">
        <f>W21+W22</f>
        <v>1389139.6980328909</v>
      </c>
    </row>
    <row r="24" spans="1:24" s="439" customFormat="1" ht="6" customHeight="1" thickTop="1" x14ac:dyDescent="0.2">
      <c r="A24" s="440"/>
      <c r="B24" s="440"/>
      <c r="C24" s="440"/>
      <c r="D24" s="441"/>
      <c r="E24" s="440"/>
      <c r="F24" s="441"/>
      <c r="G24" s="440"/>
      <c r="H24" s="441"/>
      <c r="I24" s="440"/>
      <c r="J24" s="441"/>
      <c r="K24" s="440"/>
      <c r="L24" s="441"/>
      <c r="M24" s="440"/>
      <c r="N24" s="441"/>
      <c r="O24" s="440"/>
      <c r="P24" s="441"/>
      <c r="Q24" s="520"/>
      <c r="R24" s="558"/>
      <c r="S24" s="620"/>
      <c r="T24" s="440"/>
      <c r="U24" s="440"/>
      <c r="V24" s="566"/>
      <c r="W24" s="606"/>
    </row>
    <row r="25" spans="1:24" ht="33" customHeight="1" x14ac:dyDescent="0.3">
      <c r="A25" s="167" t="s">
        <v>182</v>
      </c>
      <c r="B25" s="214" t="s">
        <v>1</v>
      </c>
      <c r="C25" s="215" t="s">
        <v>66</v>
      </c>
      <c r="D25" s="216" t="s">
        <v>169</v>
      </c>
      <c r="E25" s="217" t="s">
        <v>67</v>
      </c>
      <c r="F25" s="218" t="s">
        <v>169</v>
      </c>
      <c r="G25" s="219" t="s">
        <v>157</v>
      </c>
      <c r="H25" s="220" t="s">
        <v>169</v>
      </c>
      <c r="I25" s="393" t="str">
        <f>I2</f>
        <v>2017/18 Audited Figures</v>
      </c>
      <c r="J25" s="394" t="s">
        <v>169</v>
      </c>
      <c r="K25" s="307" t="str">
        <f>K2</f>
        <v>2018/19 Actuals @ 16/5/19 figures lodged for audit</v>
      </c>
      <c r="L25" s="308" t="s">
        <v>169</v>
      </c>
      <c r="M25" s="470" t="str">
        <f>M2</f>
        <v xml:space="preserve"> 2019/20 - Audited Figures</v>
      </c>
      <c r="N25" s="471" t="s">
        <v>169</v>
      </c>
      <c r="O25" s="495" t="str">
        <f>O2</f>
        <v>2020/21              Audited Figures</v>
      </c>
      <c r="P25" s="496" t="s">
        <v>169</v>
      </c>
      <c r="Q25" s="560" t="str">
        <f>Q2</f>
        <v>Audited Figures 2023/24</v>
      </c>
      <c r="R25" s="470" t="str">
        <f>R2</f>
        <v xml:space="preserve"> Audited Figures 2024/25</v>
      </c>
      <c r="S25" s="621" t="str">
        <f>S2</f>
        <v xml:space="preserve">  Approved Budget 2025/26</v>
      </c>
      <c r="T25" s="596" t="str">
        <f>T2</f>
        <v xml:space="preserve"> Projected Budget 2026/27</v>
      </c>
      <c r="U25" s="613" t="str">
        <f>U2</f>
        <v xml:space="preserve"> Projected Budget 2027/28</v>
      </c>
      <c r="V25" s="219" t="str">
        <f>V2</f>
        <v xml:space="preserve"> Projected Budget 2028/29</v>
      </c>
      <c r="W25" s="470" t="str">
        <f>W2</f>
        <v xml:space="preserve"> Projected Budget 2029/30</v>
      </c>
    </row>
    <row r="26" spans="1:24" ht="30.75" customHeight="1" x14ac:dyDescent="0.25">
      <c r="A26" s="221" t="s">
        <v>0</v>
      </c>
      <c r="B26" s="222" t="e">
        <f>B23-B9</f>
        <v>#REF!</v>
      </c>
      <c r="C26" s="223" t="e">
        <f>C23-C9</f>
        <v>#REF!</v>
      </c>
      <c r="D26" s="224" t="e">
        <f>(C26-B26)/B26</f>
        <v>#REF!</v>
      </c>
      <c r="E26" s="225" t="e">
        <f>E23-E9</f>
        <v>#REF!</v>
      </c>
      <c r="F26" s="226" t="e">
        <f>(E26-C26)/C26</f>
        <v>#REF!</v>
      </c>
      <c r="G26" s="227" t="e">
        <f>G23-G9</f>
        <v>#REF!</v>
      </c>
      <c r="H26" s="228" t="e">
        <f>(G26-E26)/E26</f>
        <v>#REF!</v>
      </c>
      <c r="I26" s="395" t="e">
        <f>I23-I9</f>
        <v>#REF!</v>
      </c>
      <c r="J26" s="396" t="e">
        <f>(I26-G26)/G26</f>
        <v>#REF!</v>
      </c>
      <c r="K26" s="309" t="e">
        <f>K23-K9</f>
        <v>#REF!</v>
      </c>
      <c r="L26" s="310" t="e">
        <f>(K26-I26)/I26</f>
        <v>#REF!</v>
      </c>
      <c r="M26" s="472">
        <v>694948</v>
      </c>
      <c r="N26" s="473">
        <v>-0.11</v>
      </c>
      <c r="O26" s="497">
        <f>O23-O9</f>
        <v>907582.72</v>
      </c>
      <c r="P26" s="498">
        <f>(O26-M26)/M26</f>
        <v>0.30597213028888487</v>
      </c>
      <c r="Q26" s="227">
        <f>Q23-Q9</f>
        <v>722090.39000000036</v>
      </c>
      <c r="R26" s="472">
        <f>R23-R9</f>
        <v>921760.50999999989</v>
      </c>
      <c r="S26" s="497">
        <f>S23-S9</f>
        <v>959788.89060000016</v>
      </c>
      <c r="T26" s="597">
        <f>T23-T9</f>
        <v>1035721.1247799996</v>
      </c>
      <c r="U26" s="480">
        <f>U23-U9</f>
        <v>1125365.9847966405</v>
      </c>
      <c r="V26" s="227">
        <f>V23-V9</f>
        <v>1149512.9720892438</v>
      </c>
      <c r="W26" s="472">
        <f>W23-W9</f>
        <v>1173816.4273431003</v>
      </c>
    </row>
    <row r="27" spans="1:24" ht="15" customHeight="1" x14ac:dyDescent="0.2">
      <c r="A27" s="229" t="s">
        <v>155</v>
      </c>
      <c r="B27" s="230"/>
      <c r="C27" s="231"/>
      <c r="D27" s="232"/>
      <c r="E27" s="233"/>
      <c r="F27" s="234"/>
      <c r="G27" s="235"/>
      <c r="H27" s="232"/>
      <c r="I27" s="233"/>
      <c r="J27" s="397"/>
      <c r="K27" s="230"/>
      <c r="L27" s="234"/>
      <c r="M27" s="231"/>
      <c r="N27" s="232"/>
      <c r="O27" s="235"/>
      <c r="P27" s="232"/>
      <c r="Q27" s="230"/>
      <c r="R27" s="230"/>
      <c r="S27" s="230"/>
      <c r="T27" s="615"/>
      <c r="U27" s="235"/>
      <c r="V27" s="235"/>
      <c r="W27" s="235"/>
    </row>
    <row r="28" spans="1:24" ht="30" customHeight="1" x14ac:dyDescent="0.25">
      <c r="A28" s="1110" t="s">
        <v>526</v>
      </c>
      <c r="B28" s="682"/>
      <c r="C28" s="236">
        <v>65323.53</v>
      </c>
      <c r="D28" s="237"/>
      <c r="E28" s="238" t="e">
        <f>C35</f>
        <v>#REF!</v>
      </c>
      <c r="F28" s="239"/>
      <c r="G28" s="238" t="e">
        <f>E35</f>
        <v>#REF!</v>
      </c>
      <c r="H28" s="240"/>
      <c r="I28" s="238" t="e">
        <f>G35</f>
        <v>#REF!</v>
      </c>
      <c r="J28" s="398"/>
      <c r="K28" s="429" t="e">
        <f>I35</f>
        <v>#REF!</v>
      </c>
      <c r="L28" s="240"/>
      <c r="M28" s="504">
        <v>82892.92</v>
      </c>
      <c r="N28" s="239"/>
      <c r="O28" s="504">
        <f>M35</f>
        <v>189290.01</v>
      </c>
      <c r="P28" s="239"/>
      <c r="Q28" s="559">
        <v>95212.6</v>
      </c>
      <c r="R28" s="584">
        <f>Q35</f>
        <v>189247.20999999961</v>
      </c>
      <c r="S28" s="616">
        <f>R35</f>
        <v>121666.69999999972</v>
      </c>
      <c r="T28" s="598">
        <f>S35</f>
        <v>65091.809399999562</v>
      </c>
      <c r="U28" s="614">
        <f>T35</f>
        <v>-16541.315380000044</v>
      </c>
      <c r="V28" s="559">
        <f>U35</f>
        <v>-139559.80017664062</v>
      </c>
      <c r="W28" s="607">
        <f>V35</f>
        <v>-233892.54226588458</v>
      </c>
    </row>
    <row r="29" spans="1:24" ht="24.75" customHeight="1" x14ac:dyDescent="0.25">
      <c r="A29" s="241" t="s">
        <v>42</v>
      </c>
      <c r="B29" s="242" t="e">
        <f>B26-#REF!</f>
        <v>#REF!</v>
      </c>
      <c r="C29" s="243" t="e">
        <f>C26-C28</f>
        <v>#REF!</v>
      </c>
      <c r="D29" s="237"/>
      <c r="E29" s="244" t="e">
        <f>E26-E28</f>
        <v>#REF!</v>
      </c>
      <c r="F29" s="245"/>
      <c r="G29" s="246" t="e">
        <f>G26-G28</f>
        <v>#REF!</v>
      </c>
      <c r="H29" s="245"/>
      <c r="I29" s="399" t="e">
        <f>I26-I28</f>
        <v>#REF!</v>
      </c>
      <c r="J29" s="400"/>
      <c r="K29" s="311" t="e">
        <f>K26-K28</f>
        <v>#REF!</v>
      </c>
      <c r="L29" s="245"/>
      <c r="M29" s="484">
        <v>612054.99</v>
      </c>
      <c r="N29" s="245"/>
      <c r="O29" s="499">
        <f>O26-O28</f>
        <v>718292.71</v>
      </c>
      <c r="P29" s="245"/>
      <c r="Q29" s="246">
        <f>Q26-Q28</f>
        <v>626877.79000000039</v>
      </c>
      <c r="R29" s="585">
        <f>R26-R28</f>
        <v>732513.30000000028</v>
      </c>
      <c r="S29" s="499">
        <f>S26-S28</f>
        <v>838122.19060000044</v>
      </c>
      <c r="T29" s="599">
        <f>T26-T28</f>
        <v>970629.31538000004</v>
      </c>
      <c r="U29" s="481">
        <f>U26-U28</f>
        <v>1141907.3001766405</v>
      </c>
      <c r="V29" s="246">
        <f>V26-V28</f>
        <v>1289072.7722658846</v>
      </c>
      <c r="W29" s="484">
        <f>W26-W28</f>
        <v>1407708.9696089849</v>
      </c>
    </row>
    <row r="30" spans="1:24" ht="43.5" customHeight="1" thickBot="1" x14ac:dyDescent="0.3">
      <c r="A30" s="370" t="s">
        <v>527</v>
      </c>
      <c r="B30" s="247">
        <v>48416</v>
      </c>
      <c r="C30" s="248">
        <v>44961</v>
      </c>
      <c r="D30" s="249"/>
      <c r="E30" s="250">
        <v>40294</v>
      </c>
      <c r="F30" s="251"/>
      <c r="G30" s="252">
        <v>19073</v>
      </c>
      <c r="H30" s="253">
        <f>(G30-E30)/E30</f>
        <v>-0.52665409242070782</v>
      </c>
      <c r="I30" s="252">
        <v>11130</v>
      </c>
      <c r="J30" s="254">
        <f>(I30-G30)/G30</f>
        <v>-0.41645257694122584</v>
      </c>
      <c r="K30" s="427">
        <v>6599</v>
      </c>
      <c r="L30" s="254">
        <v>0</v>
      </c>
      <c r="M30" s="505">
        <v>2347</v>
      </c>
      <c r="N30" s="406"/>
      <c r="O30" s="505">
        <v>0</v>
      </c>
      <c r="P30" s="406"/>
      <c r="Q30" s="567">
        <v>0</v>
      </c>
      <c r="R30" s="505">
        <v>0</v>
      </c>
      <c r="S30" s="505">
        <v>0</v>
      </c>
      <c r="T30" s="600">
        <v>0</v>
      </c>
      <c r="U30" s="600">
        <v>0</v>
      </c>
      <c r="V30" s="255">
        <v>0</v>
      </c>
      <c r="W30" s="255">
        <v>0</v>
      </c>
    </row>
    <row r="31" spans="1:24" ht="40.5" customHeight="1" thickTop="1" x14ac:dyDescent="0.25">
      <c r="A31" s="1111" t="s">
        <v>528</v>
      </c>
      <c r="B31" s="256">
        <v>113.5</v>
      </c>
      <c r="C31" s="257">
        <v>113.5</v>
      </c>
      <c r="D31" s="258">
        <f>(C31-B31)/B31</f>
        <v>0</v>
      </c>
      <c r="E31" s="259">
        <f>113.5*1</f>
        <v>113.5</v>
      </c>
      <c r="F31" s="260">
        <f>(E31-C31)/C31</f>
        <v>0</v>
      </c>
      <c r="G31" s="259">
        <v>115.2</v>
      </c>
      <c r="H31" s="261">
        <f>(G31-E31)/E31</f>
        <v>1.4977973568281963E-2</v>
      </c>
      <c r="I31" s="259">
        <v>115.78</v>
      </c>
      <c r="J31" s="352">
        <f>(I31-G31)/G31</f>
        <v>5.0347222222222069E-3</v>
      </c>
      <c r="K31" s="328">
        <f>I31*1</f>
        <v>115.78</v>
      </c>
      <c r="L31" s="426">
        <f>(K31-I31)/I31</f>
        <v>0</v>
      </c>
      <c r="M31" s="506">
        <f>K31*1</f>
        <v>115.78</v>
      </c>
      <c r="N31" s="508">
        <f>(M31-K31)/K31</f>
        <v>0</v>
      </c>
      <c r="O31" s="506">
        <v>116.94</v>
      </c>
      <c r="P31" s="509">
        <f>(O31-M31)/M31</f>
        <v>1.0019001554672625E-2</v>
      </c>
      <c r="Q31" s="506">
        <v>116.94</v>
      </c>
      <c r="R31" s="506">
        <v>122.78</v>
      </c>
      <c r="S31" s="506">
        <v>128.91999999999999</v>
      </c>
      <c r="T31" s="625">
        <v>135.37</v>
      </c>
      <c r="U31" s="625">
        <v>139.69999999999999</v>
      </c>
      <c r="V31" s="262">
        <v>144.16999999999999</v>
      </c>
      <c r="W31" s="262">
        <v>148.78</v>
      </c>
    </row>
    <row r="32" spans="1:24" ht="47.25" customHeight="1" thickBot="1" x14ac:dyDescent="0.3">
      <c r="A32" s="1112" t="s">
        <v>529</v>
      </c>
      <c r="B32" s="263">
        <v>6321</v>
      </c>
      <c r="C32" s="264">
        <v>6739</v>
      </c>
      <c r="D32" s="265"/>
      <c r="E32" s="266">
        <v>6814</v>
      </c>
      <c r="F32" s="265"/>
      <c r="G32" s="266">
        <v>6901</v>
      </c>
      <c r="H32" s="265"/>
      <c r="I32" s="266">
        <v>6875</v>
      </c>
      <c r="J32" s="401"/>
      <c r="K32" s="428">
        <v>6869</v>
      </c>
      <c r="L32" s="267"/>
      <c r="M32" s="507">
        <v>6901</v>
      </c>
      <c r="N32" s="267"/>
      <c r="O32" s="510">
        <v>6974</v>
      </c>
      <c r="P32" s="447"/>
      <c r="Q32" s="515">
        <v>6979</v>
      </c>
      <c r="R32" s="586">
        <v>6957</v>
      </c>
      <c r="S32" s="515">
        <v>7006</v>
      </c>
      <c r="T32" s="601">
        <v>7048</v>
      </c>
      <c r="U32" s="601">
        <v>7175</v>
      </c>
      <c r="V32" s="542">
        <v>7319</v>
      </c>
      <c r="W32" s="1114">
        <v>7465</v>
      </c>
      <c r="X32" s="408"/>
    </row>
    <row r="33" spans="1:23" ht="33.75" customHeight="1" thickTop="1" x14ac:dyDescent="0.25">
      <c r="A33" s="1113" t="s">
        <v>43</v>
      </c>
      <c r="B33" s="268">
        <v>717433.5</v>
      </c>
      <c r="C33" s="269">
        <v>764877</v>
      </c>
      <c r="D33" s="270"/>
      <c r="E33" s="269">
        <f>E31*E32</f>
        <v>773389</v>
      </c>
      <c r="F33" s="270"/>
      <c r="G33" s="269">
        <v>794996</v>
      </c>
      <c r="H33" s="270"/>
      <c r="I33" s="269">
        <v>795988</v>
      </c>
      <c r="J33" s="402"/>
      <c r="K33" s="271">
        <v>795293</v>
      </c>
      <c r="L33" s="270"/>
      <c r="M33" s="445">
        <v>798998</v>
      </c>
      <c r="N33" s="270"/>
      <c r="O33" s="451">
        <v>815540</v>
      </c>
      <c r="P33" s="516"/>
      <c r="Q33" s="452">
        <f>Q31*Q32</f>
        <v>816124.26</v>
      </c>
      <c r="R33" s="452">
        <f>R31*R32</f>
        <v>854180.46</v>
      </c>
      <c r="S33" s="452">
        <f>S31*S32</f>
        <v>903213.5199999999</v>
      </c>
      <c r="T33" s="452">
        <f>T31*T32</f>
        <v>954087.76</v>
      </c>
      <c r="U33" s="454">
        <f>U31*U32</f>
        <v>1002347.4999999999</v>
      </c>
      <c r="V33" s="452">
        <f>V31*V32</f>
        <v>1055180.23</v>
      </c>
      <c r="W33" s="452">
        <f>W31*W32</f>
        <v>1110642.7</v>
      </c>
    </row>
    <row r="34" spans="1:23" ht="42" customHeight="1" thickBot="1" x14ac:dyDescent="0.3">
      <c r="A34" s="272" t="s">
        <v>46</v>
      </c>
      <c r="B34" s="273">
        <f>B30+B33</f>
        <v>765849.5</v>
      </c>
      <c r="C34" s="274">
        <f>C30+C33</f>
        <v>809838</v>
      </c>
      <c r="D34" s="275"/>
      <c r="E34" s="276">
        <f>E30+E33</f>
        <v>813683</v>
      </c>
      <c r="F34" s="275"/>
      <c r="G34" s="277">
        <f>G30+G33</f>
        <v>814069</v>
      </c>
      <c r="H34" s="275"/>
      <c r="I34" s="403">
        <f>I30+I33</f>
        <v>807118</v>
      </c>
      <c r="J34" s="404"/>
      <c r="K34" s="312">
        <f>K30+K33</f>
        <v>801892</v>
      </c>
      <c r="L34" s="278"/>
      <c r="M34" s="483">
        <f>M30+M33</f>
        <v>801345</v>
      </c>
      <c r="N34" s="278"/>
      <c r="O34" s="500">
        <f>O30+O33</f>
        <v>815540</v>
      </c>
      <c r="P34" s="517"/>
      <c r="Q34" s="277">
        <v>816125</v>
      </c>
      <c r="R34" s="587">
        <v>854180</v>
      </c>
      <c r="S34" s="622">
        <v>903214</v>
      </c>
      <c r="T34" s="453">
        <v>954088</v>
      </c>
      <c r="U34" s="482">
        <f>U30+U33</f>
        <v>1002347.4999999999</v>
      </c>
      <c r="V34" s="277">
        <f>V30+V33</f>
        <v>1055180.23</v>
      </c>
      <c r="W34" s="483">
        <f>W30+W33</f>
        <v>1110642.7</v>
      </c>
    </row>
    <row r="35" spans="1:23" ht="54.75" customHeight="1" thickTop="1" thickBot="1" x14ac:dyDescent="0.3">
      <c r="A35" s="320" t="s">
        <v>47</v>
      </c>
      <c r="B35" s="279" t="e">
        <f>B34-B29</f>
        <v>#REF!</v>
      </c>
      <c r="C35" s="280" t="e">
        <f>C34-C29</f>
        <v>#REF!</v>
      </c>
      <c r="D35" s="281"/>
      <c r="E35" s="280" t="e">
        <f>E34-E29</f>
        <v>#REF!</v>
      </c>
      <c r="F35" s="281"/>
      <c r="G35" s="280" t="e">
        <f>G34-G29</f>
        <v>#REF!</v>
      </c>
      <c r="H35" s="281"/>
      <c r="I35" s="280" t="e">
        <f>I34-I29</f>
        <v>#REF!</v>
      </c>
      <c r="J35" s="405"/>
      <c r="K35" s="419" t="e">
        <f>K34-K29</f>
        <v>#REF!</v>
      </c>
      <c r="L35" s="283"/>
      <c r="M35" s="280">
        <f>M34-M29</f>
        <v>189290.01</v>
      </c>
      <c r="N35" s="283"/>
      <c r="O35" s="518">
        <f>O34-O29</f>
        <v>97247.290000000037</v>
      </c>
      <c r="P35" s="519"/>
      <c r="Q35" s="280">
        <f>Q34-Q29</f>
        <v>189247.20999999961</v>
      </c>
      <c r="R35" s="280">
        <f>R34-R29</f>
        <v>121666.69999999972</v>
      </c>
      <c r="S35" s="280">
        <f>S34-S29</f>
        <v>65091.809399999562</v>
      </c>
      <c r="T35" s="280">
        <f>T34-T29</f>
        <v>-16541.315380000044</v>
      </c>
      <c r="U35" s="282">
        <f>U34-U29</f>
        <v>-139559.80017664062</v>
      </c>
      <c r="V35" s="280">
        <f>V34-V29</f>
        <v>-233892.54226588458</v>
      </c>
      <c r="W35" s="280">
        <f>W34-W29</f>
        <v>-297066.26960898493</v>
      </c>
    </row>
    <row r="36" spans="1:23" s="160" customFormat="1" ht="126" customHeight="1" thickTop="1" x14ac:dyDescent="0.2">
      <c r="B36" s="423"/>
      <c r="C36" s="699"/>
      <c r="D36" s="699"/>
      <c r="E36" s="700" t="s">
        <v>247</v>
      </c>
      <c r="F36" s="701"/>
      <c r="G36" s="693" t="s">
        <v>246</v>
      </c>
      <c r="H36" s="694"/>
      <c r="I36" s="695" t="s">
        <v>248</v>
      </c>
      <c r="J36" s="696"/>
      <c r="K36" s="697" t="s">
        <v>286</v>
      </c>
      <c r="L36" s="698"/>
      <c r="M36" s="690" t="s">
        <v>287</v>
      </c>
      <c r="N36" s="691"/>
      <c r="O36" s="674" t="s">
        <v>288</v>
      </c>
      <c r="P36" s="675"/>
      <c r="Q36" s="644" t="s">
        <v>321</v>
      </c>
      <c r="R36" s="643" t="s">
        <v>348</v>
      </c>
      <c r="S36" s="646" t="s">
        <v>399</v>
      </c>
      <c r="T36" s="645" t="s">
        <v>503</v>
      </c>
      <c r="U36" s="642" t="s">
        <v>494</v>
      </c>
      <c r="V36" s="644" t="s">
        <v>495</v>
      </c>
      <c r="W36" s="643" t="s">
        <v>496</v>
      </c>
    </row>
    <row r="37" spans="1:23" s="160" customFormat="1" ht="17.25" customHeight="1" x14ac:dyDescent="0.25">
      <c r="A37" s="284" t="s">
        <v>149</v>
      </c>
      <c r="B37" s="285"/>
      <c r="C37" s="285"/>
      <c r="D37" s="286"/>
      <c r="E37" s="285"/>
      <c r="F37" s="286"/>
      <c r="G37" s="285"/>
      <c r="H37" s="424"/>
      <c r="I37" s="285"/>
      <c r="J37" s="424"/>
      <c r="K37" s="285"/>
      <c r="L37" s="424"/>
      <c r="M37" s="285"/>
      <c r="N37" s="424"/>
      <c r="O37" s="285"/>
      <c r="P37" s="424"/>
      <c r="Q37" s="285"/>
      <c r="R37" s="285"/>
      <c r="S37" s="285"/>
      <c r="T37" s="285"/>
      <c r="U37" s="285"/>
      <c r="V37" s="285"/>
      <c r="W37" s="285"/>
    </row>
    <row r="38" spans="1:23" s="160" customFormat="1" ht="56.45" customHeight="1" x14ac:dyDescent="0.2">
      <c r="A38" s="657" t="s">
        <v>285</v>
      </c>
      <c r="B38" s="657"/>
      <c r="C38" s="657"/>
      <c r="D38" s="657"/>
      <c r="E38" s="657"/>
      <c r="F38" s="657"/>
      <c r="G38" s="657"/>
      <c r="H38" s="657"/>
      <c r="I38" s="657"/>
      <c r="J38" s="657"/>
      <c r="K38" s="658"/>
      <c r="L38" s="658"/>
      <c r="M38" s="659"/>
      <c r="N38" s="659"/>
      <c r="O38" s="659"/>
      <c r="P38" s="659"/>
      <c r="Q38" s="660"/>
      <c r="R38" s="660"/>
      <c r="S38" s="660"/>
      <c r="T38" s="661"/>
      <c r="U38" s="661"/>
      <c r="V38" s="661"/>
      <c r="W38" s="661"/>
    </row>
    <row r="46" spans="1:23" ht="3.6" customHeight="1" x14ac:dyDescent="0.2"/>
  </sheetData>
  <mergeCells count="32">
    <mergeCell ref="W2:W3"/>
    <mergeCell ref="B2:B3"/>
    <mergeCell ref="G36:H36"/>
    <mergeCell ref="I36:J36"/>
    <mergeCell ref="K36:L36"/>
    <mergeCell ref="M36:N36"/>
    <mergeCell ref="C36:D36"/>
    <mergeCell ref="E36:F36"/>
    <mergeCell ref="D2:D3"/>
    <mergeCell ref="L2:L3"/>
    <mergeCell ref="A1:V1"/>
    <mergeCell ref="E2:E3"/>
    <mergeCell ref="A28:B28"/>
    <mergeCell ref="C2:C3"/>
    <mergeCell ref="M2:M3"/>
    <mergeCell ref="Q2:Q3"/>
    <mergeCell ref="F2:F3"/>
    <mergeCell ref="G2:G3"/>
    <mergeCell ref="H2:H3"/>
    <mergeCell ref="N2:N3"/>
    <mergeCell ref="J2:J3"/>
    <mergeCell ref="K2:K3"/>
    <mergeCell ref="O2:O3"/>
    <mergeCell ref="A38:W38"/>
    <mergeCell ref="T2:T3"/>
    <mergeCell ref="P2:P3"/>
    <mergeCell ref="S2:S3"/>
    <mergeCell ref="R2:R3"/>
    <mergeCell ref="I2:I3"/>
    <mergeCell ref="O36:P36"/>
    <mergeCell ref="U2:U3"/>
    <mergeCell ref="V2:V3"/>
  </mergeCells>
  <phoneticPr fontId="3" type="noConversion"/>
  <printOptions horizontalCentered="1" verticalCentered="1"/>
  <pageMargins left="0.19685039370078741" right="0.15748031496062992" top="7.874015748031496E-2" bottom="7.874015748031496E-2" header="0.15748031496062992" footer="0.19685039370078741"/>
  <pageSetup paperSize="9" scale="5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Q267"/>
  <sheetViews>
    <sheetView view="pageBreakPreview" zoomScale="65" zoomScaleNormal="65" zoomScaleSheetLayoutView="65" workbookViewId="0">
      <selection activeCell="U6" sqref="U6"/>
    </sheetView>
  </sheetViews>
  <sheetFormatPr defaultRowHeight="15" x14ac:dyDescent="0.2"/>
  <cols>
    <col min="1" max="1" width="7.7109375" style="13" customWidth="1"/>
    <col min="2" max="2" width="38.5703125" style="1" customWidth="1"/>
    <col min="3" max="3" width="1.140625" style="97" hidden="1" customWidth="1"/>
    <col min="4" max="4" width="1.28515625" style="97" hidden="1" customWidth="1"/>
    <col min="5" max="5" width="0.140625" style="97" hidden="1" customWidth="1"/>
    <col min="6" max="7" width="1.28515625" style="97" hidden="1" customWidth="1"/>
    <col min="8" max="8" width="1" style="382" hidden="1" customWidth="1"/>
    <col min="9" max="9" width="0.28515625" style="97" customWidth="1"/>
    <col min="10" max="10" width="8.85546875" style="22" hidden="1" customWidth="1"/>
    <col min="11" max="11" width="0.85546875" style="97" customWidth="1"/>
    <col min="12" max="12" width="9.140625" style="22" customWidth="1"/>
    <col min="13" max="13" width="19.140625" style="97" customWidth="1"/>
    <col min="14" max="14" width="9.28515625" style="22" customWidth="1"/>
    <col min="15" max="15" width="18" style="97" customWidth="1"/>
    <col min="16" max="16" width="9.140625" style="22" customWidth="1"/>
    <col min="17" max="17" width="18.140625" style="97" customWidth="1"/>
    <col min="18" max="18" width="9.140625" style="22" customWidth="1"/>
    <col min="19" max="19" width="21" style="97" customWidth="1"/>
    <col min="20" max="20" width="10.7109375" style="22" customWidth="1"/>
    <col min="21" max="21" width="19.7109375" style="97" customWidth="1"/>
    <col min="22" max="22" width="8.7109375" style="22" customWidth="1"/>
    <col min="23" max="23" width="17.7109375" style="97" customWidth="1"/>
    <col min="24" max="24" width="9.140625" style="22" customWidth="1"/>
    <col min="25" max="25" width="17.7109375" style="97" customWidth="1"/>
    <col min="26" max="26" width="9.140625" style="22" customWidth="1"/>
    <col min="27" max="27" width="17.7109375" style="97" customWidth="1"/>
    <col min="28" max="28" width="9.140625" style="22" customWidth="1"/>
    <col min="29" max="29" width="17.7109375" style="97" customWidth="1"/>
    <col min="30" max="30" width="10.42578125" style="22" customWidth="1"/>
    <col min="31" max="31" width="17.7109375" style="97" customWidth="1"/>
    <col min="32" max="32" width="20.7109375" style="160" customWidth="1"/>
    <col min="33" max="33" width="28.140625" style="160" customWidth="1"/>
    <col min="34" max="34" width="17.5703125" style="160" customWidth="1"/>
    <col min="35" max="35" width="31.7109375" style="126" customWidth="1"/>
    <col min="36" max="36" width="12.28515625" customWidth="1"/>
    <col min="37" max="37" width="4.140625" hidden="1" customWidth="1"/>
    <col min="38" max="38" width="12.7109375" customWidth="1"/>
    <col min="39" max="39" width="36.5703125" customWidth="1"/>
  </cols>
  <sheetData>
    <row r="1" spans="1:38" ht="27.75" customHeight="1" x14ac:dyDescent="0.35">
      <c r="A1" s="979" t="str">
        <f>'5 Year Plan Summary '!A1:L1</f>
        <v>5 YEAR FORWARD PLAN BUDGET</v>
      </c>
      <c r="B1" s="661"/>
      <c r="C1" s="661"/>
      <c r="D1" s="661"/>
      <c r="E1" s="661"/>
      <c r="F1" s="661"/>
      <c r="G1" s="661"/>
      <c r="H1" s="661"/>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row>
    <row r="2" spans="1:38" s="7" customFormat="1" ht="11.25" customHeight="1" x14ac:dyDescent="0.3">
      <c r="A2" s="986"/>
      <c r="B2" s="987"/>
      <c r="C2" s="987"/>
      <c r="D2" s="987"/>
      <c r="E2" s="987"/>
      <c r="F2" s="72"/>
      <c r="G2" s="72"/>
      <c r="H2" s="373"/>
      <c r="I2" s="72"/>
      <c r="J2" s="41"/>
      <c r="K2" s="72"/>
      <c r="L2" s="41"/>
      <c r="M2" s="72"/>
      <c r="N2" s="41"/>
      <c r="O2" s="72"/>
      <c r="P2" s="41"/>
      <c r="Q2" s="72"/>
      <c r="R2" s="41"/>
      <c r="S2" s="72"/>
      <c r="T2" s="41"/>
      <c r="U2" s="72"/>
      <c r="V2" s="41"/>
      <c r="W2" s="72"/>
      <c r="X2" s="41"/>
      <c r="Y2" s="72"/>
      <c r="Z2" s="41"/>
      <c r="AA2" s="72"/>
      <c r="AB2" s="41"/>
      <c r="AC2" s="72"/>
      <c r="AD2" s="41"/>
      <c r="AE2" s="72"/>
      <c r="AF2" s="27"/>
      <c r="AG2" s="27"/>
      <c r="AH2" s="27"/>
      <c r="AI2" s="127"/>
    </row>
    <row r="3" spans="1:38" ht="92.25" customHeight="1" x14ac:dyDescent="0.25">
      <c r="A3" s="886" t="s">
        <v>165</v>
      </c>
      <c r="B3" s="939"/>
      <c r="C3" s="73" t="s">
        <v>183</v>
      </c>
      <c r="D3" s="73" t="s">
        <v>205</v>
      </c>
      <c r="E3" s="140" t="s">
        <v>227</v>
      </c>
      <c r="F3" s="73" t="s">
        <v>228</v>
      </c>
      <c r="G3" s="330" t="s">
        <v>257</v>
      </c>
      <c r="H3" s="330" t="s">
        <v>267</v>
      </c>
      <c r="I3" s="330" t="s">
        <v>293</v>
      </c>
      <c r="J3" s="42" t="s">
        <v>212</v>
      </c>
      <c r="K3" s="73" t="str" cm="1">
        <f t="array" ref="K3:K4">'5 Year Plan Summary '!O2:O3</f>
        <v>2020/21              Audited Figures</v>
      </c>
      <c r="L3" s="42" t="s">
        <v>216</v>
      </c>
      <c r="M3" s="73" t="s">
        <v>312</v>
      </c>
      <c r="N3" s="42" t="s">
        <v>255</v>
      </c>
      <c r="O3" s="73" t="s">
        <v>340</v>
      </c>
      <c r="P3" s="42" t="s">
        <v>260</v>
      </c>
      <c r="Q3" s="73" t="s">
        <v>444</v>
      </c>
      <c r="R3" s="42" t="s">
        <v>289</v>
      </c>
      <c r="S3" s="73" t="s">
        <v>445</v>
      </c>
      <c r="T3" s="42" t="s">
        <v>290</v>
      </c>
      <c r="U3" s="73" t="s">
        <v>512</v>
      </c>
      <c r="V3" s="42" t="s">
        <v>302</v>
      </c>
      <c r="W3" s="73" t="s">
        <v>504</v>
      </c>
      <c r="X3" s="42" t="s">
        <v>381</v>
      </c>
      <c r="Y3" s="73" t="s">
        <v>331</v>
      </c>
      <c r="Z3" s="42" t="s">
        <v>382</v>
      </c>
      <c r="AA3" s="73" t="s">
        <v>379</v>
      </c>
      <c r="AB3" s="42" t="s">
        <v>382</v>
      </c>
      <c r="AC3" s="73" t="s">
        <v>463</v>
      </c>
      <c r="AD3" s="980" t="s">
        <v>272</v>
      </c>
      <c r="AE3" s="981"/>
      <c r="AF3" s="981"/>
      <c r="AG3" s="981"/>
      <c r="AH3" s="982"/>
      <c r="AI3" s="457"/>
    </row>
    <row r="4" spans="1:38" ht="23.25" customHeight="1" x14ac:dyDescent="0.2">
      <c r="A4" s="32">
        <v>4001</v>
      </c>
      <c r="B4" s="43" t="s">
        <v>17</v>
      </c>
      <c r="C4" s="74"/>
      <c r="D4" s="74"/>
      <c r="E4" s="74"/>
      <c r="F4" s="74"/>
      <c r="G4" s="325"/>
      <c r="H4" s="74"/>
      <c r="I4" s="74"/>
      <c r="J4" s="33"/>
      <c r="K4" s="74">
        <v>0</v>
      </c>
      <c r="L4" s="33"/>
      <c r="M4" s="74"/>
      <c r="N4" s="33"/>
      <c r="O4" s="74"/>
      <c r="P4" s="33"/>
      <c r="Q4" s="74"/>
      <c r="R4" s="33"/>
      <c r="S4" s="74"/>
      <c r="T4" s="33"/>
      <c r="U4" s="74"/>
      <c r="V4" s="33"/>
      <c r="W4" s="74"/>
      <c r="X4" s="33"/>
      <c r="Y4" s="74"/>
      <c r="Z4" s="33"/>
      <c r="AA4" s="74"/>
      <c r="AB4" s="33"/>
      <c r="AC4" s="74"/>
      <c r="AD4" s="983" t="s">
        <v>294</v>
      </c>
      <c r="AE4" s="984"/>
      <c r="AF4" s="984"/>
      <c r="AG4" s="984"/>
      <c r="AH4" s="985"/>
    </row>
    <row r="5" spans="1:38" ht="49.5" customHeight="1" x14ac:dyDescent="0.25">
      <c r="A5" s="2">
        <v>4002</v>
      </c>
      <c r="B5" s="39" t="s">
        <v>9</v>
      </c>
      <c r="C5" s="75">
        <v>0</v>
      </c>
      <c r="D5" s="77">
        <v>2639</v>
      </c>
      <c r="E5" s="77">
        <v>960</v>
      </c>
      <c r="F5" s="77">
        <v>0</v>
      </c>
      <c r="G5" s="338">
        <v>0</v>
      </c>
      <c r="H5" s="77">
        <v>7446</v>
      </c>
      <c r="I5" s="77">
        <v>0</v>
      </c>
      <c r="J5" s="8" t="e">
        <f t="shared" ref="J5:J7" si="0">(K5-I5)/I5</f>
        <v>#DIV/0!</v>
      </c>
      <c r="K5" s="77">
        <v>0</v>
      </c>
      <c r="L5" s="8" t="e">
        <f t="shared" ref="L5:L7" si="1">(M5-K5)/K5</f>
        <v>#DIV/0!</v>
      </c>
      <c r="M5" s="77">
        <v>0</v>
      </c>
      <c r="N5" s="8" t="e">
        <f t="shared" ref="N5:N7" si="2">(O5-M5)/M5</f>
        <v>#DIV/0!</v>
      </c>
      <c r="O5" s="77">
        <v>0</v>
      </c>
      <c r="P5" s="8" t="e">
        <f t="shared" ref="P5:P7" si="3">(Q5-O5)/O5</f>
        <v>#DIV/0!</v>
      </c>
      <c r="Q5" s="77">
        <v>0</v>
      </c>
      <c r="R5" s="8" t="e">
        <f>(S5-Q5)/Q5</f>
        <v>#DIV/0!</v>
      </c>
      <c r="S5" s="77">
        <v>1120</v>
      </c>
      <c r="T5" s="8">
        <f>(U5-S5)/S5</f>
        <v>-1</v>
      </c>
      <c r="U5" s="521">
        <v>0</v>
      </c>
      <c r="V5" s="8" t="e">
        <f>(W5-U5)/U5</f>
        <v>#DIV/0!</v>
      </c>
      <c r="W5" s="75">
        <v>0</v>
      </c>
      <c r="X5" s="8" t="e">
        <f>(Y5-W5)/W5</f>
        <v>#DIV/0!</v>
      </c>
      <c r="Y5" s="75">
        <v>0</v>
      </c>
      <c r="Z5" s="8" t="e">
        <f>(AA5-Y5)/Y5</f>
        <v>#DIV/0!</v>
      </c>
      <c r="AA5" s="75">
        <v>0</v>
      </c>
      <c r="AB5" s="8" t="e">
        <f>(AC5-AA5)/AA5</f>
        <v>#DIV/0!</v>
      </c>
      <c r="AC5" s="75">
        <v>0</v>
      </c>
      <c r="AD5" s="676" t="s">
        <v>404</v>
      </c>
      <c r="AE5" s="706"/>
      <c r="AF5" s="706"/>
      <c r="AG5" s="706"/>
      <c r="AH5" s="707"/>
    </row>
    <row r="6" spans="1:38" ht="408.75" customHeight="1" x14ac:dyDescent="0.25">
      <c r="A6" s="2" t="s">
        <v>5</v>
      </c>
      <c r="B6" s="39" t="s">
        <v>10</v>
      </c>
      <c r="C6" s="75">
        <v>0</v>
      </c>
      <c r="D6" s="77">
        <v>0</v>
      </c>
      <c r="E6" s="77">
        <v>0</v>
      </c>
      <c r="F6" s="77">
        <v>0</v>
      </c>
      <c r="G6" s="347">
        <v>0</v>
      </c>
      <c r="H6" s="77">
        <v>0</v>
      </c>
      <c r="I6" s="77">
        <v>1587.15</v>
      </c>
      <c r="J6" s="8">
        <f t="shared" si="0"/>
        <v>34.191059446177107</v>
      </c>
      <c r="K6" s="77">
        <v>55853.49</v>
      </c>
      <c r="L6" s="8">
        <f t="shared" si="1"/>
        <v>-0.79410418220956291</v>
      </c>
      <c r="M6" s="77">
        <v>11500</v>
      </c>
      <c r="N6" s="8">
        <f t="shared" si="2"/>
        <v>3.2152086956521742</v>
      </c>
      <c r="O6" s="77">
        <v>48474.9</v>
      </c>
      <c r="P6" s="8">
        <f t="shared" si="3"/>
        <v>-0.84528075354461796</v>
      </c>
      <c r="Q6" s="77">
        <v>7500</v>
      </c>
      <c r="R6" s="8">
        <f>(S6-Q6)/Q6</f>
        <v>2.935413333333333</v>
      </c>
      <c r="S6" s="77">
        <v>29515.599999999999</v>
      </c>
      <c r="T6" s="8">
        <f>(U6-S6)/S6</f>
        <v>0.34776186152407546</v>
      </c>
      <c r="U6" s="521">
        <v>39780</v>
      </c>
      <c r="V6" s="8">
        <f>(W6-U6)/U6</f>
        <v>-1</v>
      </c>
      <c r="W6" s="75">
        <v>0</v>
      </c>
      <c r="X6" s="8" t="e">
        <f>(Y6-W6)/W6</f>
        <v>#DIV/0!</v>
      </c>
      <c r="Y6" s="75">
        <v>0</v>
      </c>
      <c r="Z6" s="8" t="e">
        <f>(AA6-Y6)/Y6</f>
        <v>#DIV/0!</v>
      </c>
      <c r="AA6" s="75">
        <v>0</v>
      </c>
      <c r="AB6" s="8" t="e">
        <f>(AC6-AA6)/AA6</f>
        <v>#DIV/0!</v>
      </c>
      <c r="AC6" s="75">
        <v>0</v>
      </c>
      <c r="AD6" s="933" t="s">
        <v>486</v>
      </c>
      <c r="AE6" s="677"/>
      <c r="AF6" s="677"/>
      <c r="AG6" s="677"/>
      <c r="AH6" s="678"/>
      <c r="AI6" s="793"/>
      <c r="AJ6" s="803"/>
      <c r="AK6" s="1"/>
      <c r="AL6" s="1"/>
    </row>
    <row r="7" spans="1:38" ht="409.5" customHeight="1" x14ac:dyDescent="0.25">
      <c r="A7" s="2">
        <v>4003</v>
      </c>
      <c r="B7" s="15" t="s">
        <v>18</v>
      </c>
      <c r="C7" s="75">
        <v>2362.6799999999998</v>
      </c>
      <c r="D7" s="77">
        <v>10199.4</v>
      </c>
      <c r="E7" s="77">
        <v>769.92</v>
      </c>
      <c r="F7" s="77">
        <v>300</v>
      </c>
      <c r="G7" s="347">
        <v>3531.8</v>
      </c>
      <c r="H7" s="77">
        <v>1100</v>
      </c>
      <c r="I7" s="77">
        <v>833.33</v>
      </c>
      <c r="J7" s="8">
        <f t="shared" si="0"/>
        <v>-1</v>
      </c>
      <c r="K7" s="77">
        <v>0</v>
      </c>
      <c r="L7" s="8" t="e">
        <f t="shared" si="1"/>
        <v>#DIV/0!</v>
      </c>
      <c r="M7" s="77">
        <v>2854.8</v>
      </c>
      <c r="N7" s="8">
        <f t="shared" si="2"/>
        <v>14.312354630797252</v>
      </c>
      <c r="O7" s="77">
        <v>43713.71</v>
      </c>
      <c r="P7" s="8">
        <f t="shared" si="3"/>
        <v>-0.41179346250867294</v>
      </c>
      <c r="Q7" s="77">
        <v>25712.69</v>
      </c>
      <c r="R7" s="8">
        <f>(S7-Q7)/Q7</f>
        <v>-0.27536208774733406</v>
      </c>
      <c r="S7" s="112">
        <v>18632.39</v>
      </c>
      <c r="T7" s="8">
        <f>(U7-S7)/S7</f>
        <v>-0.8803481464267332</v>
      </c>
      <c r="U7" s="630">
        <v>2229.4</v>
      </c>
      <c r="V7" s="8">
        <f>(W7-U7)/U7</f>
        <v>-1</v>
      </c>
      <c r="W7" s="75">
        <v>0</v>
      </c>
      <c r="X7" s="8" t="e">
        <f>(Y7-W7)/W7</f>
        <v>#DIV/0!</v>
      </c>
      <c r="Y7" s="75">
        <v>0</v>
      </c>
      <c r="Z7" s="8" t="e">
        <f>(AA7-Y7)/Y7</f>
        <v>#DIV/0!</v>
      </c>
      <c r="AA7" s="75">
        <v>0</v>
      </c>
      <c r="AB7" s="8" t="e">
        <f>(AC7-AA7)/AA7</f>
        <v>#DIV/0!</v>
      </c>
      <c r="AC7" s="75">
        <v>0</v>
      </c>
      <c r="AD7" s="988" t="s">
        <v>520</v>
      </c>
      <c r="AE7" s="989"/>
      <c r="AF7" s="989"/>
      <c r="AG7" s="989"/>
      <c r="AH7" s="990"/>
      <c r="AI7" s="530"/>
    </row>
    <row r="8" spans="1:38" ht="54.75" customHeight="1" x14ac:dyDescent="0.25">
      <c r="A8" s="2">
        <v>4004</v>
      </c>
      <c r="B8" s="3" t="s">
        <v>19</v>
      </c>
      <c r="C8" s="75">
        <v>81.09</v>
      </c>
      <c r="D8" s="77">
        <v>303.54000000000002</v>
      </c>
      <c r="E8" s="77">
        <v>60.58</v>
      </c>
      <c r="F8" s="77">
        <v>18.59</v>
      </c>
      <c r="G8" s="347">
        <v>14.99</v>
      </c>
      <c r="H8" s="77">
        <v>10.220000000000001</v>
      </c>
      <c r="I8" s="77">
        <v>525.11</v>
      </c>
      <c r="J8" s="8">
        <f>(K8-I8)/I8</f>
        <v>-1</v>
      </c>
      <c r="K8" s="77">
        <v>0</v>
      </c>
      <c r="L8" s="8" t="e">
        <f>(M8-K8)/K8</f>
        <v>#DIV/0!</v>
      </c>
      <c r="M8" s="77">
        <v>20.83</v>
      </c>
      <c r="N8" s="8">
        <f>(O8-M8)/M8</f>
        <v>10.521843494959196</v>
      </c>
      <c r="O8" s="77">
        <v>240</v>
      </c>
      <c r="P8" s="8">
        <f>(Q8-O8)/O8</f>
        <v>-0.99133333333333329</v>
      </c>
      <c r="Q8" s="77">
        <v>2.08</v>
      </c>
      <c r="R8" s="8">
        <f>(S8-Q8)/Q8</f>
        <v>143.23076923076923</v>
      </c>
      <c r="S8" s="77">
        <v>300</v>
      </c>
      <c r="T8" s="8">
        <f>(U8-S8)/S8</f>
        <v>-0.93333333333333335</v>
      </c>
      <c r="U8" s="521">
        <v>20</v>
      </c>
      <c r="V8" s="8">
        <f>(W8-U8)/U8</f>
        <v>0</v>
      </c>
      <c r="W8" s="77">
        <v>20</v>
      </c>
      <c r="X8" s="8">
        <f>(Y8-W8)/W8</f>
        <v>0</v>
      </c>
      <c r="Y8" s="77">
        <v>20</v>
      </c>
      <c r="Z8" s="8">
        <f>(AA8-Y8)/Y8</f>
        <v>0</v>
      </c>
      <c r="AA8" s="77">
        <v>20</v>
      </c>
      <c r="AB8" s="8">
        <f>(AC8-AA8)/AA8</f>
        <v>0</v>
      </c>
      <c r="AC8" s="77">
        <v>20</v>
      </c>
      <c r="AD8" s="676" t="s">
        <v>405</v>
      </c>
      <c r="AE8" s="706"/>
      <c r="AF8" s="706"/>
      <c r="AG8" s="706"/>
      <c r="AH8" s="707"/>
    </row>
    <row r="9" spans="1:38" ht="21" customHeight="1" x14ac:dyDescent="0.25">
      <c r="A9" s="2">
        <v>4005</v>
      </c>
      <c r="B9" s="3" t="s">
        <v>148</v>
      </c>
      <c r="C9" s="75">
        <v>0</v>
      </c>
      <c r="D9" s="77">
        <v>0</v>
      </c>
      <c r="E9" s="77">
        <v>0</v>
      </c>
      <c r="F9" s="77">
        <v>0</v>
      </c>
      <c r="G9" s="347">
        <v>0</v>
      </c>
      <c r="H9" s="77">
        <v>0</v>
      </c>
      <c r="I9" s="77">
        <v>0</v>
      </c>
      <c r="J9" s="8"/>
      <c r="K9" s="77">
        <v>0</v>
      </c>
      <c r="L9" s="8"/>
      <c r="M9" s="77">
        <v>0</v>
      </c>
      <c r="N9" s="8"/>
      <c r="O9" s="77">
        <v>0</v>
      </c>
      <c r="P9" s="8"/>
      <c r="Q9" s="77">
        <v>0</v>
      </c>
      <c r="R9" s="8"/>
      <c r="S9" s="77">
        <v>0</v>
      </c>
      <c r="T9" s="8"/>
      <c r="U9" s="521">
        <v>0</v>
      </c>
      <c r="V9" s="8"/>
      <c r="W9" s="77">
        <v>0</v>
      </c>
      <c r="X9" s="8"/>
      <c r="Y9" s="77">
        <v>0</v>
      </c>
      <c r="Z9" s="8"/>
      <c r="AA9" s="77">
        <v>0</v>
      </c>
      <c r="AB9" s="8"/>
      <c r="AC9" s="77">
        <v>0</v>
      </c>
      <c r="AD9" s="949"/>
      <c r="AE9" s="730"/>
      <c r="AF9" s="730"/>
      <c r="AG9" s="730"/>
      <c r="AH9" s="731"/>
    </row>
    <row r="10" spans="1:38" ht="130.5" customHeight="1" x14ac:dyDescent="0.25">
      <c r="A10" s="2">
        <v>4006</v>
      </c>
      <c r="B10" s="3" t="s">
        <v>20</v>
      </c>
      <c r="C10" s="75">
        <v>39205.07</v>
      </c>
      <c r="D10" s="77">
        <v>50742.68</v>
      </c>
      <c r="E10" s="77">
        <v>50465.279999999999</v>
      </c>
      <c r="F10" s="77">
        <v>53951.96</v>
      </c>
      <c r="G10" s="347">
        <v>51236.800000000003</v>
      </c>
      <c r="H10" s="77">
        <v>57261.96</v>
      </c>
      <c r="I10" s="347">
        <v>45726.12</v>
      </c>
      <c r="J10" s="8">
        <f>(K10-I10)/I10</f>
        <v>-0.60217814238339051</v>
      </c>
      <c r="K10" s="77">
        <v>18190.849999999999</v>
      </c>
      <c r="L10" s="8">
        <f>(M10-K10)/K10</f>
        <v>0.9001613448519451</v>
      </c>
      <c r="M10" s="77">
        <v>34565.550000000003</v>
      </c>
      <c r="N10" s="8">
        <f>(O10-M10)/M10</f>
        <v>0.31655014891995048</v>
      </c>
      <c r="O10" s="77">
        <v>45507.28</v>
      </c>
      <c r="P10" s="8">
        <f>(Q10-O10)/O10</f>
        <v>0.11471593116529935</v>
      </c>
      <c r="Q10" s="77">
        <v>50727.69</v>
      </c>
      <c r="R10" s="8">
        <f t="shared" ref="R10:R34" si="4">(S10-Q10)/Q10</f>
        <v>5.6014180815251023E-2</v>
      </c>
      <c r="S10" s="77">
        <v>53569.16</v>
      </c>
      <c r="T10" s="8">
        <f t="shared" ref="T10:T34" si="5">(U10-S10)/S10</f>
        <v>2.000000000000007E-2</v>
      </c>
      <c r="U10" s="521">
        <f>S10*1.02</f>
        <v>54640.543200000007</v>
      </c>
      <c r="V10" s="8">
        <f t="shared" ref="V10:V34" si="6">(W10-U10)/U10</f>
        <v>1.9999999999999983E-2</v>
      </c>
      <c r="W10" s="77">
        <f>U10*1.02</f>
        <v>55733.354064000006</v>
      </c>
      <c r="X10" s="8">
        <f t="shared" ref="X10:X34" si="7">(Y10-W10)/W10</f>
        <v>2.0000000000000004E-2</v>
      </c>
      <c r="Y10" s="77">
        <f>W10*1.02</f>
        <v>56848.021145280007</v>
      </c>
      <c r="Z10" s="8">
        <f t="shared" ref="Z10:Z18" si="8">(AA10-Y10)/Y10</f>
        <v>1.9999999999999973E-2</v>
      </c>
      <c r="AA10" s="77">
        <f>Y10*1.02</f>
        <v>57984.981568185605</v>
      </c>
      <c r="AB10" s="8">
        <f t="shared" ref="AB10:AB18" si="9">(AC10-AA10)/AA10</f>
        <v>2.0000000000000028E-2</v>
      </c>
      <c r="AC10" s="77">
        <f>AA10*1.02</f>
        <v>59144.681199549319</v>
      </c>
      <c r="AD10" s="711" t="s">
        <v>406</v>
      </c>
      <c r="AE10" s="767"/>
      <c r="AF10" s="767"/>
      <c r="AG10" s="767"/>
      <c r="AH10" s="768"/>
      <c r="AI10" s="816"/>
      <c r="AJ10" s="792"/>
      <c r="AK10" s="792"/>
      <c r="AL10" s="792"/>
    </row>
    <row r="11" spans="1:38" ht="168.75" customHeight="1" x14ac:dyDescent="0.25">
      <c r="A11" s="2">
        <v>4007</v>
      </c>
      <c r="B11" s="3" t="s">
        <v>21</v>
      </c>
      <c r="C11" s="116">
        <v>17350.310000000001</v>
      </c>
      <c r="D11" s="107">
        <v>19263.72</v>
      </c>
      <c r="E11" s="77">
        <v>16184.07</v>
      </c>
      <c r="F11" s="77">
        <v>13365.33</v>
      </c>
      <c r="G11" s="347">
        <v>14173.63</v>
      </c>
      <c r="H11" s="77">
        <v>13802.06</v>
      </c>
      <c r="I11" s="347">
        <v>21272.92</v>
      </c>
      <c r="J11" s="8">
        <f t="shared" ref="J11:J12" si="10">(K11-I11)/I11</f>
        <v>-0.65432860180924857</v>
      </c>
      <c r="K11" s="77">
        <v>7353.44</v>
      </c>
      <c r="L11" s="8">
        <f t="shared" ref="L11:L12" si="11">(M11-K11)/K11</f>
        <v>1.3112638438608331</v>
      </c>
      <c r="M11" s="77">
        <v>16995.740000000002</v>
      </c>
      <c r="N11" s="8">
        <f t="shared" ref="N11:N12" si="12">(O11-M11)/M11</f>
        <v>0.10931680527002638</v>
      </c>
      <c r="O11" s="77">
        <v>18853.66</v>
      </c>
      <c r="P11" s="8">
        <f t="shared" ref="P11:P12" si="13">(Q11-O11)/O11</f>
        <v>0.20812033313425626</v>
      </c>
      <c r="Q11" s="77">
        <v>22777.49</v>
      </c>
      <c r="R11" s="8">
        <f t="shared" si="4"/>
        <v>-0.10291695880450402</v>
      </c>
      <c r="S11" s="77">
        <v>20433.3</v>
      </c>
      <c r="T11" s="8">
        <f t="shared" si="5"/>
        <v>2.0000000000000052E-2</v>
      </c>
      <c r="U11" s="521">
        <f>S11*1.02</f>
        <v>20841.966</v>
      </c>
      <c r="V11" s="8">
        <f t="shared" si="6"/>
        <v>1.9999999999999959E-2</v>
      </c>
      <c r="W11" s="77">
        <f>U11*1.02</f>
        <v>21258.805319999999</v>
      </c>
      <c r="X11" s="8">
        <f t="shared" si="7"/>
        <v>2.0000000000000098E-2</v>
      </c>
      <c r="Y11" s="77">
        <f>W11*1.02</f>
        <v>21683.981426400002</v>
      </c>
      <c r="Z11" s="8">
        <f t="shared" si="8"/>
        <v>1.9999999999999987E-2</v>
      </c>
      <c r="AA11" s="77">
        <f>Y11*1.02</f>
        <v>22117.661054928001</v>
      </c>
      <c r="AB11" s="8">
        <f t="shared" si="9"/>
        <v>2.0000000000000059E-2</v>
      </c>
      <c r="AC11" s="77">
        <f>AA11*1.02</f>
        <v>22560.014276026563</v>
      </c>
      <c r="AD11" s="746" t="s">
        <v>407</v>
      </c>
      <c r="AE11" s="747"/>
      <c r="AF11" s="747"/>
      <c r="AG11" s="747"/>
      <c r="AH11" s="748"/>
      <c r="AI11" s="816"/>
      <c r="AJ11" s="792"/>
      <c r="AK11" s="792"/>
      <c r="AL11" s="792"/>
    </row>
    <row r="12" spans="1:38" ht="145.5" customHeight="1" x14ac:dyDescent="0.25">
      <c r="A12" s="2">
        <v>4008</v>
      </c>
      <c r="B12" s="3" t="s">
        <v>22</v>
      </c>
      <c r="C12" s="75">
        <v>51729.3</v>
      </c>
      <c r="D12" s="77">
        <v>52540.19</v>
      </c>
      <c r="E12" s="77">
        <v>48993.74</v>
      </c>
      <c r="F12" s="77">
        <v>42995.33</v>
      </c>
      <c r="G12" s="347">
        <v>43702.19</v>
      </c>
      <c r="H12" s="77">
        <v>56507.5</v>
      </c>
      <c r="I12" s="347">
        <v>53065.29</v>
      </c>
      <c r="J12" s="8">
        <f t="shared" si="10"/>
        <v>-0.40685314260979261</v>
      </c>
      <c r="K12" s="77">
        <v>31475.51</v>
      </c>
      <c r="L12" s="8">
        <f t="shared" si="11"/>
        <v>0.81948378278858713</v>
      </c>
      <c r="M12" s="77">
        <v>57269.18</v>
      </c>
      <c r="N12" s="8">
        <f t="shared" si="12"/>
        <v>8.5014662336705377E-2</v>
      </c>
      <c r="O12" s="77">
        <v>62137.9</v>
      </c>
      <c r="P12" s="8">
        <f t="shared" si="13"/>
        <v>4.6074939771056896E-3</v>
      </c>
      <c r="Q12" s="77">
        <v>62424.2</v>
      </c>
      <c r="R12" s="8">
        <f t="shared" si="4"/>
        <v>7.0255605998955681E-2</v>
      </c>
      <c r="S12" s="77">
        <v>66809.850000000006</v>
      </c>
      <c r="T12" s="8">
        <f t="shared" si="5"/>
        <v>0.02</v>
      </c>
      <c r="U12" s="521">
        <f>S12*1.02</f>
        <v>68146.047000000006</v>
      </c>
      <c r="V12" s="8">
        <f t="shared" si="6"/>
        <v>1.9999999999999945E-2</v>
      </c>
      <c r="W12" s="77">
        <f>U12*1.02</f>
        <v>69508.967940000002</v>
      </c>
      <c r="X12" s="8">
        <f t="shared" si="7"/>
        <v>0.02</v>
      </c>
      <c r="Y12" s="77">
        <f>W12*1.02</f>
        <v>70899.147298800002</v>
      </c>
      <c r="Z12" s="8">
        <f t="shared" si="8"/>
        <v>2.0000000000000108E-2</v>
      </c>
      <c r="AA12" s="77">
        <f>Y12*1.02</f>
        <v>72317.13024477601</v>
      </c>
      <c r="AB12" s="8">
        <f t="shared" si="9"/>
        <v>1.9999999999999931E-2</v>
      </c>
      <c r="AC12" s="77">
        <f>AA12*1.02</f>
        <v>73763.472849671525</v>
      </c>
      <c r="AD12" s="711" t="s">
        <v>408</v>
      </c>
      <c r="AE12" s="767"/>
      <c r="AF12" s="767"/>
      <c r="AG12" s="767"/>
      <c r="AH12" s="768"/>
      <c r="AI12" s="816"/>
      <c r="AJ12" s="792"/>
      <c r="AK12" s="792"/>
      <c r="AL12" s="792"/>
    </row>
    <row r="13" spans="1:38" ht="39.75" customHeight="1" x14ac:dyDescent="0.25">
      <c r="A13" s="2">
        <v>4009</v>
      </c>
      <c r="B13" s="3" t="s">
        <v>168</v>
      </c>
      <c r="C13" s="75">
        <v>387.5</v>
      </c>
      <c r="D13" s="77">
        <v>350</v>
      </c>
      <c r="E13" s="77">
        <v>212.5</v>
      </c>
      <c r="F13" s="77">
        <v>454.17</v>
      </c>
      <c r="G13" s="347">
        <v>504.16</v>
      </c>
      <c r="H13" s="77">
        <v>208.34</v>
      </c>
      <c r="I13" s="77">
        <v>0</v>
      </c>
      <c r="J13" s="8" t="e">
        <f>(K13-I13)/I13</f>
        <v>#DIV/0!</v>
      </c>
      <c r="K13" s="77">
        <v>0</v>
      </c>
      <c r="L13" s="8" t="e">
        <f>(M13-K13)/K13</f>
        <v>#DIV/0!</v>
      </c>
      <c r="M13" s="77">
        <v>0</v>
      </c>
      <c r="N13" s="8" t="e">
        <f>(O13-M13)/M13</f>
        <v>#DIV/0!</v>
      </c>
      <c r="O13" s="77">
        <v>0</v>
      </c>
      <c r="P13" s="8" t="e">
        <f>(Q13-O13)/O13</f>
        <v>#DIV/0!</v>
      </c>
      <c r="Q13" s="77">
        <v>100</v>
      </c>
      <c r="R13" s="8">
        <f t="shared" si="4"/>
        <v>-1</v>
      </c>
      <c r="S13" s="77">
        <v>0</v>
      </c>
      <c r="T13" s="8" t="e">
        <f t="shared" si="5"/>
        <v>#DIV/0!</v>
      </c>
      <c r="U13" s="521">
        <v>200</v>
      </c>
      <c r="V13" s="8">
        <f t="shared" si="6"/>
        <v>0</v>
      </c>
      <c r="W13" s="77">
        <v>200</v>
      </c>
      <c r="X13" s="8">
        <f t="shared" si="7"/>
        <v>0</v>
      </c>
      <c r="Y13" s="77">
        <v>200</v>
      </c>
      <c r="Z13" s="8">
        <f t="shared" si="8"/>
        <v>0</v>
      </c>
      <c r="AA13" s="77">
        <v>200</v>
      </c>
      <c r="AB13" s="8">
        <f t="shared" si="9"/>
        <v>0</v>
      </c>
      <c r="AC13" s="77">
        <v>200</v>
      </c>
      <c r="AD13" s="676" t="s">
        <v>279</v>
      </c>
      <c r="AE13" s="706"/>
      <c r="AF13" s="706"/>
      <c r="AG13" s="706"/>
      <c r="AH13" s="707"/>
      <c r="AI13" s="132"/>
    </row>
    <row r="14" spans="1:38" ht="255.75" customHeight="1" x14ac:dyDescent="0.25">
      <c r="A14" s="14">
        <v>4010</v>
      </c>
      <c r="B14" s="15" t="s">
        <v>355</v>
      </c>
      <c r="C14" s="543"/>
      <c r="D14" s="543"/>
      <c r="E14" s="543"/>
      <c r="F14" s="543"/>
      <c r="G14" s="543"/>
      <c r="H14" s="543"/>
      <c r="I14" s="544">
        <v>9333.64</v>
      </c>
      <c r="J14" s="61">
        <f>(K14-I14)/I14</f>
        <v>-8.4463296205981656E-2</v>
      </c>
      <c r="K14" s="110">
        <v>8545.2900000000009</v>
      </c>
      <c r="L14" s="61">
        <f>(M14-K14)/K14</f>
        <v>-0.71596399888125506</v>
      </c>
      <c r="M14" s="110">
        <v>2427.17</v>
      </c>
      <c r="N14" s="61">
        <f>(O14-M14)/M14</f>
        <v>4.2668828306216708</v>
      </c>
      <c r="O14" s="110">
        <v>12783.62</v>
      </c>
      <c r="P14" s="61">
        <f>(Q14-O14)/O14</f>
        <v>1.5875761325821631</v>
      </c>
      <c r="Q14" s="110">
        <v>33078.589999999997</v>
      </c>
      <c r="R14" s="61">
        <f t="shared" ref="R14" si="14">(S14-Q14)/Q14</f>
        <v>7.373500502893271E-2</v>
      </c>
      <c r="S14" s="110">
        <v>35517.64</v>
      </c>
      <c r="T14" s="61">
        <f t="shared" ref="T14" si="15">(U14-S14)/S14</f>
        <v>-0.29612440466202145</v>
      </c>
      <c r="U14" s="569">
        <v>25000</v>
      </c>
      <c r="V14" s="61">
        <f t="shared" ref="V14" si="16">(W14-U14)/U14</f>
        <v>0</v>
      </c>
      <c r="W14" s="110">
        <v>25000</v>
      </c>
      <c r="X14" s="61">
        <f t="shared" ref="X14" si="17">(Y14-W14)/W14</f>
        <v>0</v>
      </c>
      <c r="Y14" s="110">
        <v>25000</v>
      </c>
      <c r="Z14" s="61">
        <f t="shared" si="8"/>
        <v>0</v>
      </c>
      <c r="AA14" s="110">
        <v>25000</v>
      </c>
      <c r="AB14" s="61">
        <f t="shared" si="9"/>
        <v>0</v>
      </c>
      <c r="AC14" s="110">
        <v>25000</v>
      </c>
      <c r="AD14" s="676" t="s">
        <v>396</v>
      </c>
      <c r="AE14" s="709"/>
      <c r="AF14" s="709"/>
      <c r="AG14" s="709"/>
      <c r="AH14" s="710"/>
      <c r="AI14" s="833"/>
      <c r="AJ14" s="815"/>
      <c r="AK14" s="815"/>
      <c r="AL14" s="815"/>
    </row>
    <row r="15" spans="1:38" ht="21" customHeight="1" x14ac:dyDescent="0.25">
      <c r="A15" s="4">
        <v>4011</v>
      </c>
      <c r="B15" s="5" t="s">
        <v>23</v>
      </c>
      <c r="C15" s="76">
        <v>0</v>
      </c>
      <c r="D15" s="108">
        <v>0</v>
      </c>
      <c r="E15" s="108">
        <v>0</v>
      </c>
      <c r="F15" s="77">
        <v>0</v>
      </c>
      <c r="G15" s="347">
        <v>0</v>
      </c>
      <c r="H15" s="77">
        <v>0</v>
      </c>
      <c r="I15" s="77">
        <v>0</v>
      </c>
      <c r="J15" s="8" t="e">
        <f t="shared" ref="J15" si="18">(K15-I15)/I15</f>
        <v>#DIV/0!</v>
      </c>
      <c r="K15" s="77">
        <v>0</v>
      </c>
      <c r="L15" s="8" t="e">
        <f t="shared" ref="L15:L33" si="19">(M15-K15)/K15</f>
        <v>#DIV/0!</v>
      </c>
      <c r="M15" s="77">
        <v>0</v>
      </c>
      <c r="N15" s="8" t="e">
        <f t="shared" ref="N15:N33" si="20">(O15-M15)/M15</f>
        <v>#DIV/0!</v>
      </c>
      <c r="O15" s="77">
        <v>0</v>
      </c>
      <c r="P15" s="8" t="e">
        <f t="shared" ref="P15:P33" si="21">(Q15-O15)/O15</f>
        <v>#DIV/0!</v>
      </c>
      <c r="Q15" s="77">
        <v>0</v>
      </c>
      <c r="R15" s="8" t="e">
        <f t="shared" si="4"/>
        <v>#DIV/0!</v>
      </c>
      <c r="S15" s="77">
        <v>0</v>
      </c>
      <c r="T15" s="8" t="e">
        <f t="shared" si="5"/>
        <v>#DIV/0!</v>
      </c>
      <c r="U15" s="521">
        <v>0</v>
      </c>
      <c r="V15" s="8" t="e">
        <f t="shared" si="6"/>
        <v>#DIV/0!</v>
      </c>
      <c r="W15" s="75">
        <v>0</v>
      </c>
      <c r="X15" s="8" t="e">
        <f t="shared" si="7"/>
        <v>#DIV/0!</v>
      </c>
      <c r="Y15" s="75">
        <v>0</v>
      </c>
      <c r="Z15" s="8" t="e">
        <f t="shared" si="8"/>
        <v>#DIV/0!</v>
      </c>
      <c r="AA15" s="75">
        <v>0</v>
      </c>
      <c r="AB15" s="8" t="e">
        <f t="shared" si="9"/>
        <v>#DIV/0!</v>
      </c>
      <c r="AC15" s="75">
        <v>0</v>
      </c>
      <c r="AD15" s="723" t="s">
        <v>185</v>
      </c>
      <c r="AE15" s="709"/>
      <c r="AF15" s="709"/>
      <c r="AG15" s="709"/>
      <c r="AH15" s="710"/>
      <c r="AI15" s="128"/>
    </row>
    <row r="16" spans="1:38" ht="30.6" customHeight="1" x14ac:dyDescent="0.25">
      <c r="A16" s="287">
        <v>4012</v>
      </c>
      <c r="B16" s="288" t="s">
        <v>268</v>
      </c>
      <c r="C16" s="164">
        <v>0</v>
      </c>
      <c r="D16" s="164">
        <v>0</v>
      </c>
      <c r="E16" s="108">
        <v>0</v>
      </c>
      <c r="F16" s="77">
        <v>0</v>
      </c>
      <c r="G16" s="347">
        <v>232</v>
      </c>
      <c r="H16" s="77">
        <v>163</v>
      </c>
      <c r="I16" s="77">
        <v>110</v>
      </c>
      <c r="J16" s="8">
        <f t="shared" ref="J16" si="22">(K16-I16)/I16</f>
        <v>-1</v>
      </c>
      <c r="K16" s="77">
        <v>0</v>
      </c>
      <c r="L16" s="8" t="e">
        <f t="shared" si="19"/>
        <v>#DIV/0!</v>
      </c>
      <c r="M16" s="77">
        <v>0</v>
      </c>
      <c r="N16" s="8" t="e">
        <f t="shared" si="20"/>
        <v>#DIV/0!</v>
      </c>
      <c r="O16" s="77">
        <v>0</v>
      </c>
      <c r="P16" s="8" t="e">
        <f t="shared" si="21"/>
        <v>#DIV/0!</v>
      </c>
      <c r="Q16" s="77">
        <v>229</v>
      </c>
      <c r="R16" s="8">
        <f t="shared" si="4"/>
        <v>-1</v>
      </c>
      <c r="S16" s="77">
        <v>0</v>
      </c>
      <c r="T16" s="8" t="e">
        <f t="shared" si="5"/>
        <v>#DIV/0!</v>
      </c>
      <c r="U16" s="521">
        <v>0</v>
      </c>
      <c r="V16" s="8" t="e">
        <f t="shared" si="6"/>
        <v>#DIV/0!</v>
      </c>
      <c r="W16" s="75">
        <v>0</v>
      </c>
      <c r="X16" s="8" t="e">
        <f t="shared" si="7"/>
        <v>#DIV/0!</v>
      </c>
      <c r="Y16" s="75">
        <v>0</v>
      </c>
      <c r="Z16" s="8" t="e">
        <f t="shared" si="8"/>
        <v>#DIV/0!</v>
      </c>
      <c r="AA16" s="75">
        <v>0</v>
      </c>
      <c r="AB16" s="8" t="e">
        <f t="shared" si="9"/>
        <v>#DIV/0!</v>
      </c>
      <c r="AC16" s="75">
        <v>0</v>
      </c>
      <c r="AD16" s="676" t="s">
        <v>356</v>
      </c>
      <c r="AE16" s="706"/>
      <c r="AF16" s="706"/>
      <c r="AG16" s="706"/>
      <c r="AH16" s="707"/>
      <c r="AI16" s="128"/>
    </row>
    <row r="17" spans="1:37" ht="37.15" customHeight="1" x14ac:dyDescent="0.25">
      <c r="A17" s="69">
        <v>4013</v>
      </c>
      <c r="B17" s="70" t="s">
        <v>189</v>
      </c>
      <c r="C17" s="76">
        <v>0</v>
      </c>
      <c r="D17" s="108">
        <v>510</v>
      </c>
      <c r="E17" s="108">
        <v>0</v>
      </c>
      <c r="F17" s="77">
        <v>0</v>
      </c>
      <c r="G17" s="347">
        <v>315</v>
      </c>
      <c r="H17" s="77">
        <v>0</v>
      </c>
      <c r="I17" s="77">
        <v>0</v>
      </c>
      <c r="J17" s="8" t="e">
        <f t="shared" ref="J17" si="23">(K17-I17)/I17</f>
        <v>#DIV/0!</v>
      </c>
      <c r="K17" s="77">
        <v>0</v>
      </c>
      <c r="L17" s="8" t="e">
        <f t="shared" si="19"/>
        <v>#DIV/0!</v>
      </c>
      <c r="M17" s="77">
        <v>0</v>
      </c>
      <c r="N17" s="8" t="e">
        <f t="shared" si="20"/>
        <v>#DIV/0!</v>
      </c>
      <c r="O17" s="77">
        <v>0</v>
      </c>
      <c r="P17" s="8" t="e">
        <f t="shared" si="21"/>
        <v>#DIV/0!</v>
      </c>
      <c r="Q17" s="77">
        <v>0</v>
      </c>
      <c r="R17" s="8" t="e">
        <f t="shared" si="4"/>
        <v>#DIV/0!</v>
      </c>
      <c r="S17" s="77">
        <v>0</v>
      </c>
      <c r="T17" s="8" t="e">
        <f t="shared" si="5"/>
        <v>#DIV/0!</v>
      </c>
      <c r="U17" s="521">
        <v>0</v>
      </c>
      <c r="V17" s="8" t="e">
        <f t="shared" si="6"/>
        <v>#DIV/0!</v>
      </c>
      <c r="W17" s="75">
        <v>0</v>
      </c>
      <c r="X17" s="8" t="e">
        <f t="shared" si="7"/>
        <v>#DIV/0!</v>
      </c>
      <c r="Y17" s="75">
        <v>0</v>
      </c>
      <c r="Z17" s="8" t="e">
        <f t="shared" si="8"/>
        <v>#DIV/0!</v>
      </c>
      <c r="AA17" s="75">
        <v>0</v>
      </c>
      <c r="AB17" s="8" t="e">
        <f t="shared" si="9"/>
        <v>#DIV/0!</v>
      </c>
      <c r="AC17" s="75">
        <v>0</v>
      </c>
      <c r="AD17" s="711" t="s">
        <v>229</v>
      </c>
      <c r="AE17" s="712"/>
      <c r="AF17" s="712"/>
      <c r="AG17" s="712"/>
      <c r="AH17" s="713"/>
    </row>
    <row r="18" spans="1:37" ht="31.15" customHeight="1" x14ac:dyDescent="0.25">
      <c r="A18" s="65">
        <v>4014</v>
      </c>
      <c r="B18" s="66" t="s">
        <v>36</v>
      </c>
      <c r="C18" s="76">
        <v>0</v>
      </c>
      <c r="D18" s="108">
        <v>12800</v>
      </c>
      <c r="E18" s="108">
        <v>1800</v>
      </c>
      <c r="F18" s="108">
        <v>0</v>
      </c>
      <c r="G18" s="347">
        <v>0</v>
      </c>
      <c r="H18" s="108">
        <v>0</v>
      </c>
      <c r="I18" s="108">
        <v>0</v>
      </c>
      <c r="J18" s="8" t="e">
        <f t="shared" ref="J18:J33" si="24">(K18-I18)/I18</f>
        <v>#DIV/0!</v>
      </c>
      <c r="K18" s="108">
        <v>0</v>
      </c>
      <c r="L18" s="8" t="e">
        <f t="shared" si="19"/>
        <v>#DIV/0!</v>
      </c>
      <c r="M18" s="108">
        <v>0</v>
      </c>
      <c r="N18" s="8" t="e">
        <f t="shared" si="20"/>
        <v>#DIV/0!</v>
      </c>
      <c r="O18" s="108">
        <v>0</v>
      </c>
      <c r="P18" s="8" t="e">
        <f t="shared" si="21"/>
        <v>#DIV/0!</v>
      </c>
      <c r="Q18" s="108">
        <v>0</v>
      </c>
      <c r="R18" s="8" t="e">
        <f t="shared" si="4"/>
        <v>#DIV/0!</v>
      </c>
      <c r="S18" s="108">
        <v>0</v>
      </c>
      <c r="T18" s="8" t="e">
        <f t="shared" si="5"/>
        <v>#DIV/0!</v>
      </c>
      <c r="U18" s="547">
        <v>0</v>
      </c>
      <c r="V18" s="8" t="e">
        <f t="shared" si="6"/>
        <v>#DIV/0!</v>
      </c>
      <c r="W18" s="76">
        <v>0</v>
      </c>
      <c r="X18" s="8" t="e">
        <f t="shared" si="7"/>
        <v>#DIV/0!</v>
      </c>
      <c r="Y18" s="76">
        <v>0</v>
      </c>
      <c r="Z18" s="8" t="e">
        <f t="shared" si="8"/>
        <v>#DIV/0!</v>
      </c>
      <c r="AA18" s="76">
        <v>0</v>
      </c>
      <c r="AB18" s="8" t="e">
        <f t="shared" si="9"/>
        <v>#DIV/0!</v>
      </c>
      <c r="AC18" s="76">
        <v>0</v>
      </c>
      <c r="AD18" s="746" t="s">
        <v>206</v>
      </c>
      <c r="AE18" s="747"/>
      <c r="AF18" s="747"/>
      <c r="AG18" s="747"/>
      <c r="AH18" s="748"/>
    </row>
    <row r="19" spans="1:37" ht="23.25" customHeight="1" x14ac:dyDescent="0.25">
      <c r="A19" s="4">
        <v>4106</v>
      </c>
      <c r="B19" s="3" t="s">
        <v>24</v>
      </c>
      <c r="C19" s="76">
        <v>9908.42</v>
      </c>
      <c r="D19" s="108">
        <v>10362.1</v>
      </c>
      <c r="E19" s="108">
        <v>8698.66</v>
      </c>
      <c r="F19" s="77">
        <v>12714.75</v>
      </c>
      <c r="G19" s="347">
        <v>13694.04</v>
      </c>
      <c r="H19" s="77">
        <v>11241.75</v>
      </c>
      <c r="I19" s="347">
        <v>7943.55</v>
      </c>
      <c r="J19" s="8">
        <f t="shared" si="24"/>
        <v>-0.37803626841903176</v>
      </c>
      <c r="K19" s="77">
        <v>4940.6000000000004</v>
      </c>
      <c r="L19" s="8">
        <f t="shared" si="19"/>
        <v>2.6526474517265108</v>
      </c>
      <c r="M19" s="77">
        <v>18046.27</v>
      </c>
      <c r="N19" s="8">
        <f t="shared" si="20"/>
        <v>-0.32287558592440435</v>
      </c>
      <c r="O19" s="77">
        <v>12219.57</v>
      </c>
      <c r="P19" s="8">
        <f t="shared" si="21"/>
        <v>-0.28224806601214275</v>
      </c>
      <c r="Q19" s="77">
        <v>8770.6200000000008</v>
      </c>
      <c r="R19" s="8">
        <f t="shared" si="4"/>
        <v>0.16647397789437918</v>
      </c>
      <c r="S19" s="77">
        <v>10230.700000000001</v>
      </c>
      <c r="T19" s="8">
        <f t="shared" si="5"/>
        <v>1.9999999999999959E-2</v>
      </c>
      <c r="U19" s="521">
        <f>S19*1.02</f>
        <v>10435.314</v>
      </c>
      <c r="V19" s="8">
        <f t="shared" si="6"/>
        <v>2.9999999999999961E-2</v>
      </c>
      <c r="W19" s="77">
        <f>U19*1.03</f>
        <v>10748.37342</v>
      </c>
      <c r="X19" s="8">
        <f t="shared" si="7"/>
        <v>3.0000000000000106E-2</v>
      </c>
      <c r="Y19" s="77">
        <f>W19*1.03</f>
        <v>11070.824622600001</v>
      </c>
      <c r="Z19" s="8">
        <v>0</v>
      </c>
      <c r="AA19" s="77">
        <f>Y19*1.03</f>
        <v>11402.949361278001</v>
      </c>
      <c r="AB19" s="8">
        <v>0</v>
      </c>
      <c r="AC19" s="77">
        <f>AA19*1.03</f>
        <v>11745.03784211634</v>
      </c>
      <c r="AD19" s="708" t="s">
        <v>409</v>
      </c>
      <c r="AE19" s="709"/>
      <c r="AF19" s="709"/>
      <c r="AG19" s="709"/>
      <c r="AH19" s="710"/>
    </row>
    <row r="20" spans="1:37" ht="21" customHeight="1" x14ac:dyDescent="0.25">
      <c r="A20" s="4">
        <v>4107</v>
      </c>
      <c r="B20" s="3" t="s">
        <v>25</v>
      </c>
      <c r="C20" s="76">
        <v>5</v>
      </c>
      <c r="D20" s="108">
        <v>0</v>
      </c>
      <c r="E20" s="108">
        <v>0</v>
      </c>
      <c r="F20" s="77">
        <v>0</v>
      </c>
      <c r="G20" s="347">
        <v>43.33</v>
      </c>
      <c r="H20" s="77">
        <v>0</v>
      </c>
      <c r="I20" s="347">
        <v>0</v>
      </c>
      <c r="J20" s="8" t="e">
        <f t="shared" si="24"/>
        <v>#DIV/0!</v>
      </c>
      <c r="K20" s="77">
        <v>0</v>
      </c>
      <c r="L20" s="8" t="e">
        <f t="shared" si="19"/>
        <v>#DIV/0!</v>
      </c>
      <c r="M20" s="77">
        <v>0</v>
      </c>
      <c r="N20" s="8" t="e">
        <f t="shared" si="20"/>
        <v>#DIV/0!</v>
      </c>
      <c r="O20" s="77">
        <v>3900</v>
      </c>
      <c r="P20" s="8">
        <f t="shared" si="21"/>
        <v>-1</v>
      </c>
      <c r="Q20" s="77">
        <v>0</v>
      </c>
      <c r="R20" s="8" t="e">
        <f t="shared" si="4"/>
        <v>#DIV/0!</v>
      </c>
      <c r="S20" s="77">
        <f t="shared" ref="S20" si="25">Q20*1.02</f>
        <v>0</v>
      </c>
      <c r="T20" s="8" t="e">
        <f t="shared" si="5"/>
        <v>#DIV/0!</v>
      </c>
      <c r="U20" s="521">
        <f t="shared" ref="U20:U21" si="26">S20*1.02</f>
        <v>0</v>
      </c>
      <c r="V20" s="8" t="e">
        <f t="shared" si="6"/>
        <v>#DIV/0!</v>
      </c>
      <c r="W20" s="77">
        <f t="shared" ref="W20" si="27">U20*1.02</f>
        <v>0</v>
      </c>
      <c r="X20" s="8" t="e">
        <f t="shared" si="7"/>
        <v>#DIV/0!</v>
      </c>
      <c r="Y20" s="77">
        <f t="shared" ref="Y20" si="28">W20*1.02</f>
        <v>0</v>
      </c>
      <c r="Z20" s="8" t="e">
        <f>(AA20-Y20)/Y20</f>
        <v>#DIV/0!</v>
      </c>
      <c r="AA20" s="77">
        <f>Y20*1.02</f>
        <v>0</v>
      </c>
      <c r="AB20" s="8" t="e">
        <f t="shared" ref="AB20:AB34" si="29">(AC20-AA20)/AA20</f>
        <v>#DIV/0!</v>
      </c>
      <c r="AC20" s="77">
        <f>AA20*1.02</f>
        <v>0</v>
      </c>
      <c r="AD20" s="708" t="s">
        <v>410</v>
      </c>
      <c r="AE20" s="709"/>
      <c r="AF20" s="709"/>
      <c r="AG20" s="709"/>
      <c r="AH20" s="710"/>
    </row>
    <row r="21" spans="1:37" ht="21" customHeight="1" x14ac:dyDescent="0.25">
      <c r="A21" s="4">
        <v>4108</v>
      </c>
      <c r="B21" s="3" t="s">
        <v>26</v>
      </c>
      <c r="C21" s="76">
        <v>4983.74</v>
      </c>
      <c r="D21" s="108">
        <v>5349.91</v>
      </c>
      <c r="E21" s="108">
        <v>5128.0600000000004</v>
      </c>
      <c r="F21" s="77">
        <v>7502.21</v>
      </c>
      <c r="G21" s="347">
        <v>8574.16</v>
      </c>
      <c r="H21" s="77">
        <v>4573.32</v>
      </c>
      <c r="I21" s="347">
        <v>9017.48</v>
      </c>
      <c r="J21" s="8">
        <f t="shared" si="24"/>
        <v>6.0301769452219517E-2</v>
      </c>
      <c r="K21" s="77">
        <v>9561.25</v>
      </c>
      <c r="L21" s="8">
        <f t="shared" si="19"/>
        <v>-0.389818276898941</v>
      </c>
      <c r="M21" s="77">
        <v>5834.1</v>
      </c>
      <c r="N21" s="8">
        <f t="shared" si="20"/>
        <v>-0.15725133268199037</v>
      </c>
      <c r="O21" s="77">
        <v>4916.68</v>
      </c>
      <c r="P21" s="8">
        <f t="shared" si="21"/>
        <v>4.0677855788865652E-2</v>
      </c>
      <c r="Q21" s="77">
        <v>5116.68</v>
      </c>
      <c r="R21" s="8">
        <f t="shared" si="4"/>
        <v>0.25298044825941823</v>
      </c>
      <c r="S21" s="77">
        <v>6411.1</v>
      </c>
      <c r="T21" s="8">
        <f t="shared" si="5"/>
        <v>1.9999999999999959E-2</v>
      </c>
      <c r="U21" s="521">
        <f t="shared" si="26"/>
        <v>6539.3220000000001</v>
      </c>
      <c r="V21" s="8">
        <f t="shared" si="6"/>
        <v>2.9999999999999968E-2</v>
      </c>
      <c r="W21" s="77">
        <f>U21*1.03</f>
        <v>6735.5016599999999</v>
      </c>
      <c r="X21" s="8">
        <f t="shared" si="7"/>
        <v>3.0000000000000068E-2</v>
      </c>
      <c r="Y21" s="77">
        <f>W21*1.03</f>
        <v>6937.5667098000004</v>
      </c>
      <c r="Z21" s="8">
        <f>(AA21-Y21)/Y21</f>
        <v>3.0000000000000051E-2</v>
      </c>
      <c r="AA21" s="77">
        <f>Y21*1.03</f>
        <v>7145.6937110940007</v>
      </c>
      <c r="AB21" s="8">
        <f t="shared" si="29"/>
        <v>3.0000000000000034E-2</v>
      </c>
      <c r="AC21" s="77">
        <f>AA21*1.03</f>
        <v>7360.064522426821</v>
      </c>
      <c r="AD21" s="708" t="s">
        <v>411</v>
      </c>
      <c r="AE21" s="709"/>
      <c r="AF21" s="709"/>
      <c r="AG21" s="709"/>
      <c r="AH21" s="710"/>
    </row>
    <row r="22" spans="1:37" ht="78.75" customHeight="1" x14ac:dyDescent="0.25">
      <c r="A22" s="2">
        <v>4109</v>
      </c>
      <c r="B22" s="3" t="s">
        <v>203</v>
      </c>
      <c r="C22" s="117"/>
      <c r="D22" s="108">
        <v>258.45999999999998</v>
      </c>
      <c r="E22" s="108">
        <v>672.76</v>
      </c>
      <c r="F22" s="77">
        <v>434.32</v>
      </c>
      <c r="G22" s="347">
        <v>787.65</v>
      </c>
      <c r="H22" s="77">
        <v>987.66</v>
      </c>
      <c r="I22" s="77">
        <v>1412.63</v>
      </c>
      <c r="J22" s="8">
        <f t="shared" si="24"/>
        <v>-0.68439010922888521</v>
      </c>
      <c r="K22" s="77">
        <v>445.84</v>
      </c>
      <c r="L22" s="8">
        <f t="shared" si="19"/>
        <v>0.33644356719899532</v>
      </c>
      <c r="M22" s="77">
        <v>595.84</v>
      </c>
      <c r="N22" s="8">
        <f t="shared" si="20"/>
        <v>1.4755471267454348</v>
      </c>
      <c r="O22" s="77">
        <v>1475.03</v>
      </c>
      <c r="P22" s="8">
        <f t="shared" si="21"/>
        <v>1.5112845162471269</v>
      </c>
      <c r="Q22" s="77">
        <v>3704.22</v>
      </c>
      <c r="R22" s="8">
        <f t="shared" si="4"/>
        <v>-0.62316763043231771</v>
      </c>
      <c r="S22" s="77">
        <v>1395.87</v>
      </c>
      <c r="T22" s="8">
        <f t="shared" si="5"/>
        <v>2.9587282483326594E-3</v>
      </c>
      <c r="U22" s="521">
        <v>1400</v>
      </c>
      <c r="V22" s="8">
        <f t="shared" si="6"/>
        <v>0.03</v>
      </c>
      <c r="W22" s="77">
        <v>1442</v>
      </c>
      <c r="X22" s="8">
        <f t="shared" si="7"/>
        <v>2.9819694868238558E-2</v>
      </c>
      <c r="Y22" s="77">
        <v>1485</v>
      </c>
      <c r="Z22" s="8">
        <v>0</v>
      </c>
      <c r="AA22" s="77">
        <v>1530</v>
      </c>
      <c r="AB22" s="8">
        <f t="shared" si="29"/>
        <v>0</v>
      </c>
      <c r="AC22" s="77">
        <v>1530</v>
      </c>
      <c r="AD22" s="676" t="s">
        <v>412</v>
      </c>
      <c r="AE22" s="709"/>
      <c r="AF22" s="709"/>
      <c r="AG22" s="709"/>
      <c r="AH22" s="710"/>
      <c r="AI22" s="530" t="s">
        <v>464</v>
      </c>
      <c r="AK22" s="126"/>
    </row>
    <row r="23" spans="1:37" ht="15.75" x14ac:dyDescent="0.25">
      <c r="A23" s="4">
        <v>4300</v>
      </c>
      <c r="B23" s="3" t="s">
        <v>27</v>
      </c>
      <c r="C23" s="76">
        <v>0</v>
      </c>
      <c r="D23" s="108">
        <v>0</v>
      </c>
      <c r="E23" s="108">
        <v>0</v>
      </c>
      <c r="F23" s="77">
        <v>0</v>
      </c>
      <c r="G23" s="347">
        <v>0</v>
      </c>
      <c r="H23" s="77">
        <v>0</v>
      </c>
      <c r="I23" s="77">
        <v>0</v>
      </c>
      <c r="J23" s="8" t="e">
        <f t="shared" si="24"/>
        <v>#DIV/0!</v>
      </c>
      <c r="K23" s="77">
        <v>0</v>
      </c>
      <c r="L23" s="8" t="e">
        <f t="shared" si="19"/>
        <v>#DIV/0!</v>
      </c>
      <c r="M23" s="77">
        <v>0</v>
      </c>
      <c r="N23" s="8" t="e">
        <f t="shared" si="20"/>
        <v>#DIV/0!</v>
      </c>
      <c r="O23" s="77">
        <v>0</v>
      </c>
      <c r="P23" s="8" t="e">
        <f t="shared" si="21"/>
        <v>#DIV/0!</v>
      </c>
      <c r="Q23" s="77">
        <v>0</v>
      </c>
      <c r="R23" s="8" t="e">
        <f t="shared" si="4"/>
        <v>#DIV/0!</v>
      </c>
      <c r="S23" s="77">
        <v>0</v>
      </c>
      <c r="T23" s="8" t="e">
        <f t="shared" si="5"/>
        <v>#DIV/0!</v>
      </c>
      <c r="U23" s="521">
        <v>0</v>
      </c>
      <c r="V23" s="8" t="e">
        <f t="shared" si="6"/>
        <v>#DIV/0!</v>
      </c>
      <c r="W23" s="75">
        <v>0</v>
      </c>
      <c r="X23" s="8" t="e">
        <f t="shared" si="7"/>
        <v>#DIV/0!</v>
      </c>
      <c r="Y23" s="75">
        <v>0</v>
      </c>
      <c r="Z23" s="8" t="e">
        <f t="shared" ref="Z23:Z34" si="30">(AA23-Y23)/Y23</f>
        <v>#DIV/0!</v>
      </c>
      <c r="AA23" s="75">
        <v>0</v>
      </c>
      <c r="AB23" s="8" t="e">
        <f t="shared" si="29"/>
        <v>#DIV/0!</v>
      </c>
      <c r="AC23" s="75">
        <v>0</v>
      </c>
      <c r="AD23" s="729"/>
      <c r="AE23" s="730"/>
      <c r="AF23" s="730"/>
      <c r="AG23" s="730"/>
      <c r="AH23" s="731"/>
    </row>
    <row r="24" spans="1:37" ht="15.75" x14ac:dyDescent="0.25">
      <c r="A24" s="4">
        <v>4350</v>
      </c>
      <c r="B24" s="3" t="s">
        <v>28</v>
      </c>
      <c r="C24" s="76">
        <v>0</v>
      </c>
      <c r="D24" s="108">
        <v>0</v>
      </c>
      <c r="E24" s="108">
        <v>0</v>
      </c>
      <c r="F24" s="77">
        <v>0</v>
      </c>
      <c r="G24" s="347">
        <v>0</v>
      </c>
      <c r="H24" s="77">
        <v>0</v>
      </c>
      <c r="I24" s="77">
        <v>0</v>
      </c>
      <c r="J24" s="8" t="e">
        <f t="shared" si="24"/>
        <v>#DIV/0!</v>
      </c>
      <c r="K24" s="77">
        <v>0</v>
      </c>
      <c r="L24" s="8" t="e">
        <f t="shared" si="19"/>
        <v>#DIV/0!</v>
      </c>
      <c r="M24" s="77">
        <v>0</v>
      </c>
      <c r="N24" s="8" t="e">
        <f t="shared" si="20"/>
        <v>#DIV/0!</v>
      </c>
      <c r="O24" s="77">
        <v>0</v>
      </c>
      <c r="P24" s="8" t="e">
        <f t="shared" si="21"/>
        <v>#DIV/0!</v>
      </c>
      <c r="Q24" s="77">
        <v>0</v>
      </c>
      <c r="R24" s="8" t="e">
        <f t="shared" si="4"/>
        <v>#DIV/0!</v>
      </c>
      <c r="S24" s="77">
        <v>0</v>
      </c>
      <c r="T24" s="8" t="e">
        <f t="shared" si="5"/>
        <v>#DIV/0!</v>
      </c>
      <c r="U24" s="521">
        <v>0</v>
      </c>
      <c r="V24" s="8" t="e">
        <f t="shared" si="6"/>
        <v>#DIV/0!</v>
      </c>
      <c r="W24" s="75">
        <v>0</v>
      </c>
      <c r="X24" s="8" t="e">
        <f t="shared" si="7"/>
        <v>#DIV/0!</v>
      </c>
      <c r="Y24" s="75">
        <v>0</v>
      </c>
      <c r="Z24" s="8" t="e">
        <f t="shared" si="30"/>
        <v>#DIV/0!</v>
      </c>
      <c r="AA24" s="75">
        <v>0</v>
      </c>
      <c r="AB24" s="8" t="e">
        <f t="shared" si="29"/>
        <v>#DIV/0!</v>
      </c>
      <c r="AC24" s="75">
        <v>0</v>
      </c>
      <c r="AD24" s="729"/>
      <c r="AE24" s="730"/>
      <c r="AF24" s="730"/>
      <c r="AG24" s="730"/>
      <c r="AH24" s="731"/>
    </row>
    <row r="25" spans="1:37" ht="15.75" x14ac:dyDescent="0.25">
      <c r="A25" s="4">
        <v>4400</v>
      </c>
      <c r="B25" s="3" t="s">
        <v>29</v>
      </c>
      <c r="C25" s="76">
        <v>0</v>
      </c>
      <c r="D25" s="108">
        <v>0</v>
      </c>
      <c r="E25" s="108">
        <v>0</v>
      </c>
      <c r="F25" s="77">
        <v>0</v>
      </c>
      <c r="G25" s="347">
        <v>0</v>
      </c>
      <c r="H25" s="77">
        <v>0</v>
      </c>
      <c r="I25" s="77">
        <v>0</v>
      </c>
      <c r="J25" s="8" t="e">
        <f t="shared" si="24"/>
        <v>#DIV/0!</v>
      </c>
      <c r="K25" s="77">
        <v>0</v>
      </c>
      <c r="L25" s="8" t="e">
        <f t="shared" si="19"/>
        <v>#DIV/0!</v>
      </c>
      <c r="M25" s="77">
        <v>0</v>
      </c>
      <c r="N25" s="8" t="e">
        <f t="shared" si="20"/>
        <v>#DIV/0!</v>
      </c>
      <c r="O25" s="77">
        <v>0</v>
      </c>
      <c r="P25" s="8" t="e">
        <f t="shared" si="21"/>
        <v>#DIV/0!</v>
      </c>
      <c r="Q25" s="77">
        <v>0</v>
      </c>
      <c r="R25" s="8" t="e">
        <f t="shared" si="4"/>
        <v>#DIV/0!</v>
      </c>
      <c r="S25" s="77">
        <v>0</v>
      </c>
      <c r="T25" s="8" t="e">
        <f t="shared" si="5"/>
        <v>#DIV/0!</v>
      </c>
      <c r="U25" s="521">
        <v>0</v>
      </c>
      <c r="V25" s="8" t="e">
        <f t="shared" si="6"/>
        <v>#DIV/0!</v>
      </c>
      <c r="W25" s="75">
        <v>0</v>
      </c>
      <c r="X25" s="8" t="e">
        <f t="shared" si="7"/>
        <v>#DIV/0!</v>
      </c>
      <c r="Y25" s="75">
        <v>0</v>
      </c>
      <c r="Z25" s="8" t="e">
        <f t="shared" si="30"/>
        <v>#DIV/0!</v>
      </c>
      <c r="AA25" s="75">
        <v>0</v>
      </c>
      <c r="AB25" s="8" t="e">
        <f t="shared" si="29"/>
        <v>#DIV/0!</v>
      </c>
      <c r="AC25" s="75">
        <v>0</v>
      </c>
      <c r="AD25" s="729"/>
      <c r="AE25" s="730"/>
      <c r="AF25" s="730"/>
      <c r="AG25" s="730"/>
      <c r="AH25" s="731"/>
    </row>
    <row r="26" spans="1:37" ht="15.75" x14ac:dyDescent="0.25">
      <c r="A26" s="4">
        <v>4405</v>
      </c>
      <c r="B26" s="53" t="s">
        <v>30</v>
      </c>
      <c r="C26" s="76">
        <v>0</v>
      </c>
      <c r="D26" s="108">
        <v>0</v>
      </c>
      <c r="E26" s="108">
        <v>0</v>
      </c>
      <c r="F26" s="77">
        <v>0</v>
      </c>
      <c r="G26" s="347">
        <v>0</v>
      </c>
      <c r="H26" s="77">
        <v>0</v>
      </c>
      <c r="I26" s="77">
        <v>0</v>
      </c>
      <c r="J26" s="8" t="e">
        <f t="shared" si="24"/>
        <v>#DIV/0!</v>
      </c>
      <c r="K26" s="77">
        <v>0</v>
      </c>
      <c r="L26" s="8" t="e">
        <f t="shared" si="19"/>
        <v>#DIV/0!</v>
      </c>
      <c r="M26" s="77">
        <v>0</v>
      </c>
      <c r="N26" s="8" t="e">
        <f t="shared" si="20"/>
        <v>#DIV/0!</v>
      </c>
      <c r="O26" s="77">
        <v>0</v>
      </c>
      <c r="P26" s="8" t="e">
        <f t="shared" si="21"/>
        <v>#DIV/0!</v>
      </c>
      <c r="Q26" s="77">
        <v>0</v>
      </c>
      <c r="R26" s="8" t="e">
        <f t="shared" si="4"/>
        <v>#DIV/0!</v>
      </c>
      <c r="S26" s="77">
        <v>0</v>
      </c>
      <c r="T26" s="8" t="e">
        <f t="shared" si="5"/>
        <v>#DIV/0!</v>
      </c>
      <c r="U26" s="521">
        <v>0</v>
      </c>
      <c r="V26" s="8" t="e">
        <f t="shared" si="6"/>
        <v>#DIV/0!</v>
      </c>
      <c r="W26" s="75">
        <v>0</v>
      </c>
      <c r="X26" s="8" t="e">
        <f t="shared" si="7"/>
        <v>#DIV/0!</v>
      </c>
      <c r="Y26" s="75">
        <v>0</v>
      </c>
      <c r="Z26" s="8" t="e">
        <f t="shared" si="30"/>
        <v>#DIV/0!</v>
      </c>
      <c r="AA26" s="75">
        <v>0</v>
      </c>
      <c r="AB26" s="8" t="e">
        <f t="shared" si="29"/>
        <v>#DIV/0!</v>
      </c>
      <c r="AC26" s="75">
        <v>0</v>
      </c>
      <c r="AD26" s="729"/>
      <c r="AE26" s="730"/>
      <c r="AF26" s="730"/>
      <c r="AG26" s="730"/>
      <c r="AH26" s="731"/>
    </row>
    <row r="27" spans="1:37" ht="38.25" customHeight="1" x14ac:dyDescent="0.25">
      <c r="A27" s="63">
        <v>4500</v>
      </c>
      <c r="B27" s="26" t="s">
        <v>224</v>
      </c>
      <c r="C27" s="76">
        <v>12260.15</v>
      </c>
      <c r="D27" s="108">
        <v>1500</v>
      </c>
      <c r="E27" s="108">
        <v>0</v>
      </c>
      <c r="F27" s="77">
        <v>1546.25</v>
      </c>
      <c r="G27" s="347">
        <v>0</v>
      </c>
      <c r="H27" s="77">
        <v>0</v>
      </c>
      <c r="I27" s="77">
        <v>0</v>
      </c>
      <c r="J27" s="8" t="e">
        <f t="shared" si="24"/>
        <v>#DIV/0!</v>
      </c>
      <c r="K27" s="77">
        <v>0</v>
      </c>
      <c r="L27" s="8" t="e">
        <f t="shared" si="19"/>
        <v>#DIV/0!</v>
      </c>
      <c r="M27" s="77">
        <v>0</v>
      </c>
      <c r="N27" s="8" t="e">
        <f t="shared" si="20"/>
        <v>#DIV/0!</v>
      </c>
      <c r="O27" s="77">
        <v>0</v>
      </c>
      <c r="P27" s="8" t="e">
        <f t="shared" si="21"/>
        <v>#DIV/0!</v>
      </c>
      <c r="Q27" s="77">
        <v>0</v>
      </c>
      <c r="R27" s="8" t="e">
        <f t="shared" si="4"/>
        <v>#DIV/0!</v>
      </c>
      <c r="S27" s="77">
        <v>0</v>
      </c>
      <c r="T27" s="8" t="e">
        <f t="shared" si="5"/>
        <v>#DIV/0!</v>
      </c>
      <c r="U27" s="521">
        <v>0</v>
      </c>
      <c r="V27" s="8" t="e">
        <f t="shared" si="6"/>
        <v>#DIV/0!</v>
      </c>
      <c r="W27" s="75">
        <v>0</v>
      </c>
      <c r="X27" s="8" t="e">
        <f t="shared" si="7"/>
        <v>#DIV/0!</v>
      </c>
      <c r="Y27" s="75">
        <v>0</v>
      </c>
      <c r="Z27" s="8" t="e">
        <f t="shared" si="30"/>
        <v>#DIV/0!</v>
      </c>
      <c r="AA27" s="75">
        <v>0</v>
      </c>
      <c r="AB27" s="8" t="e">
        <f t="shared" si="29"/>
        <v>#DIV/0!</v>
      </c>
      <c r="AC27" s="75">
        <v>0</v>
      </c>
      <c r="AD27" s="726" t="s">
        <v>239</v>
      </c>
      <c r="AE27" s="727"/>
      <c r="AF27" s="727"/>
      <c r="AG27" s="727"/>
      <c r="AH27" s="728"/>
    </row>
    <row r="28" spans="1:37" ht="93.75" customHeight="1" x14ac:dyDescent="0.25">
      <c r="A28" s="71">
        <v>4512</v>
      </c>
      <c r="B28" s="19" t="s">
        <v>325</v>
      </c>
      <c r="C28" s="99"/>
      <c r="D28" s="108">
        <v>0</v>
      </c>
      <c r="E28" s="108">
        <v>0</v>
      </c>
      <c r="F28" s="77">
        <v>0</v>
      </c>
      <c r="G28" s="366">
        <v>0</v>
      </c>
      <c r="H28" s="364">
        <v>0</v>
      </c>
      <c r="I28" s="108">
        <v>10000</v>
      </c>
      <c r="J28" s="8">
        <f t="shared" ref="J28" si="31">(K28-I28)/I28</f>
        <v>0</v>
      </c>
      <c r="K28" s="108">
        <v>10000</v>
      </c>
      <c r="L28" s="8">
        <f t="shared" ref="L28" si="32">(M28-K28)/K28</f>
        <v>0</v>
      </c>
      <c r="M28" s="108">
        <v>10000</v>
      </c>
      <c r="N28" s="8">
        <f t="shared" ref="N28" si="33">(O28-M28)/M28</f>
        <v>0.11000100000000002</v>
      </c>
      <c r="O28" s="108">
        <v>11100.01</v>
      </c>
      <c r="P28" s="8">
        <f t="shared" ref="P28" si="34">(Q28-O28)/O28</f>
        <v>-9.9099910720801168E-2</v>
      </c>
      <c r="Q28" s="108">
        <v>10000</v>
      </c>
      <c r="R28" s="8">
        <f t="shared" ref="R28" si="35">(S28-Q28)/Q28</f>
        <v>0.4</v>
      </c>
      <c r="S28" s="108">
        <v>14000</v>
      </c>
      <c r="T28" s="8">
        <f t="shared" ref="T28:V28" si="36">(U28-S28)/S28</f>
        <v>0</v>
      </c>
      <c r="U28" s="547">
        <v>14000</v>
      </c>
      <c r="V28" s="8">
        <f t="shared" si="36"/>
        <v>0</v>
      </c>
      <c r="W28" s="108">
        <v>14000</v>
      </c>
      <c r="X28" s="8">
        <f t="shared" si="7"/>
        <v>0</v>
      </c>
      <c r="Y28" s="108">
        <v>14000</v>
      </c>
      <c r="Z28" s="8">
        <f t="shared" si="30"/>
        <v>0</v>
      </c>
      <c r="AA28" s="108">
        <v>14000</v>
      </c>
      <c r="AB28" s="8">
        <f t="shared" si="29"/>
        <v>0</v>
      </c>
      <c r="AC28" s="108">
        <v>14000</v>
      </c>
      <c r="AD28" s="1000" t="s">
        <v>357</v>
      </c>
      <c r="AE28" s="1000"/>
      <c r="AF28" s="1000"/>
      <c r="AG28" s="1000"/>
      <c r="AH28" s="1000"/>
    </row>
    <row r="29" spans="1:37" ht="39.75" customHeight="1" x14ac:dyDescent="0.25">
      <c r="A29" s="71">
        <v>4513</v>
      </c>
      <c r="B29" s="19" t="s">
        <v>326</v>
      </c>
      <c r="C29" s="99"/>
      <c r="D29" s="108">
        <v>0</v>
      </c>
      <c r="E29" s="108">
        <v>0</v>
      </c>
      <c r="F29" s="77">
        <v>0</v>
      </c>
      <c r="G29" s="366">
        <v>0</v>
      </c>
      <c r="H29" s="364">
        <v>0</v>
      </c>
      <c r="I29" s="108">
        <v>0</v>
      </c>
      <c r="J29" s="8" t="e">
        <f t="shared" ref="J29" si="37">(K29-I29)/I29</f>
        <v>#DIV/0!</v>
      </c>
      <c r="K29" s="108">
        <v>960</v>
      </c>
      <c r="L29" s="8">
        <f t="shared" ref="L29" si="38">(M29-K29)/K29</f>
        <v>-1</v>
      </c>
      <c r="M29" s="108">
        <v>0</v>
      </c>
      <c r="N29" s="8" t="e">
        <f t="shared" ref="N29" si="39">(O29-M29)/M29</f>
        <v>#DIV/0!</v>
      </c>
      <c r="O29" s="108">
        <v>0</v>
      </c>
      <c r="P29" s="8" t="e">
        <f t="shared" ref="P29" si="40">(Q29-O29)/O29</f>
        <v>#DIV/0!</v>
      </c>
      <c r="Q29" s="108">
        <v>0</v>
      </c>
      <c r="R29" s="8" t="e">
        <f t="shared" ref="R29" si="41">(S29-Q29)/Q29</f>
        <v>#DIV/0!</v>
      </c>
      <c r="S29" s="108">
        <v>0</v>
      </c>
      <c r="T29" s="8" t="e">
        <f t="shared" ref="T29" si="42">(U29-S29)/S29</f>
        <v>#DIV/0!</v>
      </c>
      <c r="U29" s="547">
        <v>0</v>
      </c>
      <c r="V29" s="8" t="e">
        <f t="shared" si="6"/>
        <v>#DIV/0!</v>
      </c>
      <c r="W29" s="76">
        <v>0</v>
      </c>
      <c r="X29" s="8" t="e">
        <f t="shared" si="7"/>
        <v>#DIV/0!</v>
      </c>
      <c r="Y29" s="76">
        <v>0</v>
      </c>
      <c r="Z29" s="8" t="e">
        <f t="shared" si="30"/>
        <v>#DIV/0!</v>
      </c>
      <c r="AA29" s="76">
        <v>0</v>
      </c>
      <c r="AB29" s="8" t="e">
        <f t="shared" si="29"/>
        <v>#DIV/0!</v>
      </c>
      <c r="AC29" s="76">
        <v>0</v>
      </c>
      <c r="AD29" s="999" t="s">
        <v>297</v>
      </c>
      <c r="AE29" s="999"/>
      <c r="AF29" s="999"/>
      <c r="AG29" s="999"/>
      <c r="AH29" s="999"/>
    </row>
    <row r="30" spans="1:37" ht="42.75" customHeight="1" x14ac:dyDescent="0.25">
      <c r="A30" s="71">
        <v>4514</v>
      </c>
      <c r="B30" s="19" t="s">
        <v>326</v>
      </c>
      <c r="C30" s="99"/>
      <c r="D30" s="108">
        <v>0</v>
      </c>
      <c r="E30" s="108">
        <v>0</v>
      </c>
      <c r="F30" s="77">
        <v>0</v>
      </c>
      <c r="G30" s="366">
        <v>0</v>
      </c>
      <c r="H30" s="364">
        <v>0</v>
      </c>
      <c r="I30" s="108">
        <v>0</v>
      </c>
      <c r="J30" s="8" t="e">
        <f t="shared" si="24"/>
        <v>#DIV/0!</v>
      </c>
      <c r="K30" s="108">
        <v>960</v>
      </c>
      <c r="L30" s="8">
        <f t="shared" si="19"/>
        <v>-1</v>
      </c>
      <c r="M30" s="108">
        <v>0</v>
      </c>
      <c r="N30" s="8" t="e">
        <f t="shared" si="20"/>
        <v>#DIV/0!</v>
      </c>
      <c r="O30" s="108">
        <v>0</v>
      </c>
      <c r="P30" s="8" t="e">
        <f t="shared" si="21"/>
        <v>#DIV/0!</v>
      </c>
      <c r="Q30" s="108">
        <v>0</v>
      </c>
      <c r="R30" s="8" t="e">
        <f t="shared" si="4"/>
        <v>#DIV/0!</v>
      </c>
      <c r="S30" s="108">
        <v>0</v>
      </c>
      <c r="T30" s="8" t="e">
        <f t="shared" si="5"/>
        <v>#DIV/0!</v>
      </c>
      <c r="U30" s="547">
        <v>0</v>
      </c>
      <c r="V30" s="8" t="e">
        <f t="shared" si="6"/>
        <v>#DIV/0!</v>
      </c>
      <c r="W30" s="76">
        <v>0</v>
      </c>
      <c r="X30" s="8" t="e">
        <f t="shared" si="7"/>
        <v>#DIV/0!</v>
      </c>
      <c r="Y30" s="76">
        <v>0</v>
      </c>
      <c r="Z30" s="8" t="e">
        <f t="shared" si="30"/>
        <v>#DIV/0!</v>
      </c>
      <c r="AA30" s="76">
        <v>0</v>
      </c>
      <c r="AB30" s="8" t="e">
        <f t="shared" si="29"/>
        <v>#DIV/0!</v>
      </c>
      <c r="AC30" s="76">
        <v>0</v>
      </c>
      <c r="AD30" s="999" t="s">
        <v>298</v>
      </c>
      <c r="AE30" s="999"/>
      <c r="AF30" s="999"/>
      <c r="AG30" s="999"/>
      <c r="AH30" s="999"/>
    </row>
    <row r="31" spans="1:37" ht="31.5" customHeight="1" x14ac:dyDescent="0.25">
      <c r="A31" s="71">
        <v>4515</v>
      </c>
      <c r="B31" s="19" t="s">
        <v>327</v>
      </c>
      <c r="C31" s="99"/>
      <c r="D31" s="108">
        <v>0</v>
      </c>
      <c r="E31" s="108">
        <v>0</v>
      </c>
      <c r="F31" s="77">
        <v>0</v>
      </c>
      <c r="G31" s="366">
        <v>0</v>
      </c>
      <c r="H31" s="364">
        <v>0</v>
      </c>
      <c r="I31" s="108">
        <v>0</v>
      </c>
      <c r="J31" s="8" t="e">
        <f t="shared" ref="J31:J32" si="43">(K31-I31)/I31</f>
        <v>#DIV/0!</v>
      </c>
      <c r="K31" s="108">
        <v>0</v>
      </c>
      <c r="L31" s="8" t="e">
        <f t="shared" ref="L31:L32" si="44">(M31-K31)/K31</f>
        <v>#DIV/0!</v>
      </c>
      <c r="M31" s="108">
        <v>500</v>
      </c>
      <c r="N31" s="8">
        <f t="shared" ref="N31:N32" si="45">(O31-M31)/M31</f>
        <v>-1</v>
      </c>
      <c r="O31" s="108">
        <v>0</v>
      </c>
      <c r="P31" s="8" t="e">
        <f t="shared" ref="P31:P32" si="46">(Q31-O31)/O31</f>
        <v>#DIV/0!</v>
      </c>
      <c r="Q31" s="108">
        <v>0</v>
      </c>
      <c r="R31" s="8" t="e">
        <f t="shared" ref="R31:R33" si="47">(S31-Q31)/Q31</f>
        <v>#DIV/0!</v>
      </c>
      <c r="S31" s="108">
        <v>0</v>
      </c>
      <c r="T31" s="8" t="e">
        <f t="shared" ref="T31:T32" si="48">(U31-S31)/S31</f>
        <v>#DIV/0!</v>
      </c>
      <c r="U31" s="547">
        <v>0</v>
      </c>
      <c r="V31" s="8" t="e">
        <f t="shared" ref="V31:V32" si="49">(W31-U31)/U31</f>
        <v>#DIV/0!</v>
      </c>
      <c r="W31" s="76">
        <v>0</v>
      </c>
      <c r="X31" s="8" t="e">
        <f t="shared" si="7"/>
        <v>#DIV/0!</v>
      </c>
      <c r="Y31" s="76">
        <v>0</v>
      </c>
      <c r="Z31" s="8" t="e">
        <f t="shared" si="30"/>
        <v>#DIV/0!</v>
      </c>
      <c r="AA31" s="76">
        <v>0</v>
      </c>
      <c r="AB31" s="8" t="e">
        <f t="shared" si="29"/>
        <v>#DIV/0!</v>
      </c>
      <c r="AC31" s="76">
        <v>0</v>
      </c>
      <c r="AD31" s="1001" t="s">
        <v>305</v>
      </c>
      <c r="AE31" s="999"/>
      <c r="AF31" s="999"/>
      <c r="AG31" s="999"/>
      <c r="AH31" s="999"/>
    </row>
    <row r="32" spans="1:37" ht="49.5" customHeight="1" x14ac:dyDescent="0.25">
      <c r="A32" s="71">
        <v>4516</v>
      </c>
      <c r="B32" s="19" t="s">
        <v>324</v>
      </c>
      <c r="C32" s="99"/>
      <c r="D32" s="108">
        <v>0</v>
      </c>
      <c r="E32" s="108">
        <v>0</v>
      </c>
      <c r="F32" s="77">
        <v>0</v>
      </c>
      <c r="G32" s="366">
        <v>0</v>
      </c>
      <c r="H32" s="364">
        <v>0</v>
      </c>
      <c r="I32" s="364">
        <v>0</v>
      </c>
      <c r="J32" s="361" t="e">
        <f t="shared" si="43"/>
        <v>#DIV/0!</v>
      </c>
      <c r="K32" s="364">
        <v>0</v>
      </c>
      <c r="L32" s="361" t="e">
        <f t="shared" si="44"/>
        <v>#DIV/0!</v>
      </c>
      <c r="M32" s="364">
        <v>0</v>
      </c>
      <c r="N32" s="361" t="e">
        <f t="shared" si="45"/>
        <v>#DIV/0!</v>
      </c>
      <c r="O32" s="364">
        <v>0</v>
      </c>
      <c r="P32" s="361" t="e">
        <f t="shared" si="46"/>
        <v>#DIV/0!</v>
      </c>
      <c r="Q32" s="108">
        <v>2900</v>
      </c>
      <c r="R32" s="8">
        <f t="shared" si="47"/>
        <v>-1</v>
      </c>
      <c r="S32" s="108">
        <v>0</v>
      </c>
      <c r="T32" s="8" t="e">
        <f t="shared" si="48"/>
        <v>#DIV/0!</v>
      </c>
      <c r="U32" s="547">
        <v>0</v>
      </c>
      <c r="V32" s="8" t="e">
        <f t="shared" si="49"/>
        <v>#DIV/0!</v>
      </c>
      <c r="W32" s="76">
        <v>0</v>
      </c>
      <c r="X32" s="8" t="e">
        <f t="shared" ref="X32" si="50">(Y32-W32)/W32</f>
        <v>#DIV/0!</v>
      </c>
      <c r="Y32" s="76">
        <v>0</v>
      </c>
      <c r="Z32" s="8" t="e">
        <f t="shared" si="30"/>
        <v>#DIV/0!</v>
      </c>
      <c r="AA32" s="76">
        <v>0</v>
      </c>
      <c r="AB32" s="8" t="e">
        <f t="shared" si="29"/>
        <v>#DIV/0!</v>
      </c>
      <c r="AC32" s="76">
        <v>0</v>
      </c>
      <c r="AD32" s="1001" t="s">
        <v>332</v>
      </c>
      <c r="AE32" s="999"/>
      <c r="AF32" s="999"/>
      <c r="AG32" s="999"/>
      <c r="AH32" s="999"/>
    </row>
    <row r="33" spans="1:38" ht="49.5" customHeight="1" x14ac:dyDescent="0.25">
      <c r="A33" s="71">
        <v>4517</v>
      </c>
      <c r="B33" s="19" t="s">
        <v>394</v>
      </c>
      <c r="C33" s="99"/>
      <c r="D33" s="108">
        <v>0</v>
      </c>
      <c r="E33" s="108">
        <v>0</v>
      </c>
      <c r="F33" s="77">
        <v>0</v>
      </c>
      <c r="G33" s="366">
        <v>0</v>
      </c>
      <c r="H33" s="364">
        <v>0</v>
      </c>
      <c r="I33" s="364">
        <v>0</v>
      </c>
      <c r="J33" s="361" t="e">
        <f t="shared" si="24"/>
        <v>#DIV/0!</v>
      </c>
      <c r="K33" s="364">
        <v>0</v>
      </c>
      <c r="L33" s="361" t="e">
        <f t="shared" si="19"/>
        <v>#DIV/0!</v>
      </c>
      <c r="M33" s="364">
        <v>0</v>
      </c>
      <c r="N33" s="361" t="e">
        <f t="shared" si="20"/>
        <v>#DIV/0!</v>
      </c>
      <c r="O33" s="364">
        <v>0</v>
      </c>
      <c r="P33" s="361" t="e">
        <f t="shared" si="21"/>
        <v>#DIV/0!</v>
      </c>
      <c r="Q33" s="364">
        <v>0</v>
      </c>
      <c r="R33" s="361" t="e">
        <f t="shared" si="47"/>
        <v>#DIV/0!</v>
      </c>
      <c r="S33" s="108">
        <v>7337</v>
      </c>
      <c r="T33" s="8">
        <f t="shared" si="5"/>
        <v>1.0220117214120212</v>
      </c>
      <c r="U33" s="547">
        <v>14835.5</v>
      </c>
      <c r="V33" s="8">
        <f t="shared" si="6"/>
        <v>-1</v>
      </c>
      <c r="W33" s="76">
        <v>0</v>
      </c>
      <c r="X33" s="8" t="e">
        <f t="shared" si="7"/>
        <v>#DIV/0!</v>
      </c>
      <c r="Y33" s="76">
        <v>0</v>
      </c>
      <c r="Z33" s="8" t="e">
        <f t="shared" si="30"/>
        <v>#DIV/0!</v>
      </c>
      <c r="AA33" s="76">
        <v>0</v>
      </c>
      <c r="AB33" s="8" t="e">
        <f t="shared" si="29"/>
        <v>#DIV/0!</v>
      </c>
      <c r="AC33" s="76">
        <v>0</v>
      </c>
      <c r="AD33" s="1001" t="s">
        <v>393</v>
      </c>
      <c r="AE33" s="999"/>
      <c r="AF33" s="999"/>
      <c r="AG33" s="999"/>
      <c r="AH33" s="999"/>
      <c r="AI33" s="610" t="s">
        <v>490</v>
      </c>
      <c r="AJ33" s="1"/>
    </row>
    <row r="34" spans="1:38" ht="27" customHeight="1" thickBot="1" x14ac:dyDescent="0.3">
      <c r="A34" s="1014" t="s">
        <v>31</v>
      </c>
      <c r="B34" s="1015"/>
      <c r="C34" s="103">
        <f>SUM(C4:C27)</f>
        <v>138273.26</v>
      </c>
      <c r="D34" s="103">
        <f t="shared" ref="D34:I34" si="51">SUM(D5:D30)</f>
        <v>166819</v>
      </c>
      <c r="E34" s="103">
        <f t="shared" si="51"/>
        <v>133945.57</v>
      </c>
      <c r="F34" s="103">
        <f t="shared" si="51"/>
        <v>133282.91</v>
      </c>
      <c r="G34" s="357">
        <f t="shared" si="51"/>
        <v>136809.75</v>
      </c>
      <c r="H34" s="103">
        <f t="shared" si="51"/>
        <v>153301.81</v>
      </c>
      <c r="I34" s="103">
        <f t="shared" si="51"/>
        <v>160827.22</v>
      </c>
      <c r="J34" s="44">
        <f>(K34-I34)/I34</f>
        <v>-7.7977782616649172E-2</v>
      </c>
      <c r="K34" s="103">
        <f>SUM(K5:K30)</f>
        <v>148286.26999999999</v>
      </c>
      <c r="L34" s="44">
        <f>(M34-K34)/K34</f>
        <v>8.3104187596060114E-2</v>
      </c>
      <c r="M34" s="103">
        <f>SUM(M5:M33)</f>
        <v>160609.48000000001</v>
      </c>
      <c r="N34" s="44">
        <f>(O34-M34)/M34</f>
        <v>0.65197197575136889</v>
      </c>
      <c r="O34" s="103">
        <f>SUM(O5:O33)</f>
        <v>265322.36</v>
      </c>
      <c r="P34" s="44">
        <f>(Q34-O34)/O34</f>
        <v>-0.12165993096096378</v>
      </c>
      <c r="Q34" s="103">
        <f>SUM(Q5:Q33)</f>
        <v>233043.26</v>
      </c>
      <c r="R34" s="44">
        <f t="shared" si="4"/>
        <v>0.13829771348032111</v>
      </c>
      <c r="S34" s="103">
        <f>SUM(S5:S33)</f>
        <v>265272.61</v>
      </c>
      <c r="T34" s="44">
        <f t="shared" si="5"/>
        <v>-2.7158920779646163E-2</v>
      </c>
      <c r="U34" s="103">
        <f>SUM(U5:U33)</f>
        <v>258068.09220000001</v>
      </c>
      <c r="V34" s="44">
        <f t="shared" si="6"/>
        <v>-0.20700385445016287</v>
      </c>
      <c r="W34" s="103">
        <f>SUM(W5:W33)</f>
        <v>204647.002404</v>
      </c>
      <c r="X34" s="44">
        <f t="shared" si="7"/>
        <v>1.7090593841073747E-2</v>
      </c>
      <c r="Y34" s="103">
        <f>SUM(Y5:Y33)</f>
        <v>208144.54120288001</v>
      </c>
      <c r="Z34" s="44">
        <f t="shared" si="30"/>
        <v>1.7170158375175128E-2</v>
      </c>
      <c r="AA34" s="103">
        <f>SUM(AA5:AA33)</f>
        <v>211718.41594026162</v>
      </c>
      <c r="AB34" s="44">
        <f t="shared" si="29"/>
        <v>1.7026647084616851E-2</v>
      </c>
      <c r="AC34" s="103">
        <f>SUM(AC5:AC33)</f>
        <v>215323.27068979057</v>
      </c>
      <c r="AD34" s="996" t="s">
        <v>34</v>
      </c>
      <c r="AE34" s="997"/>
      <c r="AF34" s="997"/>
      <c r="AG34" s="997"/>
      <c r="AH34" s="998"/>
    </row>
    <row r="35" spans="1:38" ht="240" customHeight="1" thickTop="1" x14ac:dyDescent="0.25">
      <c r="A35" s="2">
        <v>4000</v>
      </c>
      <c r="B35" s="3" t="s">
        <v>194</v>
      </c>
      <c r="C35" s="75">
        <v>717433.5</v>
      </c>
      <c r="D35" s="77">
        <v>764877</v>
      </c>
      <c r="E35" s="108">
        <f>'5 Year Plan Summary '!E33</f>
        <v>773389</v>
      </c>
      <c r="F35" s="108">
        <v>794996</v>
      </c>
      <c r="G35" s="349">
        <v>795988</v>
      </c>
      <c r="H35" s="374">
        <v>795293</v>
      </c>
      <c r="I35" s="108">
        <v>798998</v>
      </c>
      <c r="J35" s="46"/>
      <c r="K35" s="108">
        <v>815540</v>
      </c>
      <c r="L35" s="46"/>
      <c r="M35" s="108">
        <v>811681</v>
      </c>
      <c r="N35" s="46"/>
      <c r="O35" s="108">
        <v>810862</v>
      </c>
      <c r="P35" s="46"/>
      <c r="Q35" s="374">
        <v>816125</v>
      </c>
      <c r="R35" s="46"/>
      <c r="S35" s="374">
        <v>854180</v>
      </c>
      <c r="T35" s="46"/>
      <c r="U35" s="547">
        <v>903214</v>
      </c>
      <c r="V35" s="553"/>
      <c r="W35" s="76">
        <v>0</v>
      </c>
      <c r="X35" s="553"/>
      <c r="Y35" s="76">
        <v>0</v>
      </c>
      <c r="Z35" s="553"/>
      <c r="AA35" s="76">
        <v>0</v>
      </c>
      <c r="AB35" s="553"/>
      <c r="AC35" s="76">
        <v>0</v>
      </c>
      <c r="AD35" s="46"/>
      <c r="AE35" s="1019" t="s">
        <v>402</v>
      </c>
      <c r="AF35" s="1020"/>
      <c r="AG35" s="1020"/>
      <c r="AH35" s="1021"/>
    </row>
    <row r="36" spans="1:38" ht="141" customHeight="1" thickBot="1" x14ac:dyDescent="0.3">
      <c r="A36" s="2">
        <v>4015</v>
      </c>
      <c r="B36" s="3" t="s">
        <v>195</v>
      </c>
      <c r="C36" s="75">
        <v>48416</v>
      </c>
      <c r="D36" s="77">
        <v>44961</v>
      </c>
      <c r="E36" s="108">
        <f>'5 Year Plan Summary '!E30</f>
        <v>40294</v>
      </c>
      <c r="F36" s="108">
        <v>19073</v>
      </c>
      <c r="G36" s="347">
        <v>11130</v>
      </c>
      <c r="H36" s="374">
        <v>6599</v>
      </c>
      <c r="I36" s="108">
        <v>2347</v>
      </c>
      <c r="J36" s="46"/>
      <c r="K36" s="117">
        <v>0</v>
      </c>
      <c r="L36" s="535"/>
      <c r="M36" s="117">
        <v>0</v>
      </c>
      <c r="N36" s="535"/>
      <c r="O36" s="117">
        <v>0</v>
      </c>
      <c r="P36" s="535"/>
      <c r="Q36" s="536">
        <v>0</v>
      </c>
      <c r="R36" s="535"/>
      <c r="S36" s="537"/>
      <c r="T36" s="535"/>
      <c r="U36" s="538"/>
      <c r="V36" s="535"/>
      <c r="W36" s="538"/>
      <c r="X36" s="535"/>
      <c r="Y36" s="538"/>
      <c r="Z36" s="535"/>
      <c r="AA36" s="538"/>
      <c r="AB36" s="535"/>
      <c r="AC36" s="538"/>
      <c r="AD36" s="46"/>
      <c r="AE36" s="1022"/>
      <c r="AF36" s="1023"/>
      <c r="AG36" s="1023"/>
      <c r="AH36" s="1024"/>
    </row>
    <row r="37" spans="1:38" ht="28.5" customHeight="1" thickTop="1" thickBot="1" x14ac:dyDescent="0.3">
      <c r="A37" s="978" t="s">
        <v>214</v>
      </c>
      <c r="B37" s="924"/>
      <c r="C37" s="78">
        <f t="shared" ref="C37:I37" si="52">C34+C35+C36</f>
        <v>904122.76</v>
      </c>
      <c r="D37" s="78">
        <f t="shared" si="52"/>
        <v>976657</v>
      </c>
      <c r="E37" s="78">
        <f t="shared" si="52"/>
        <v>947628.57000000007</v>
      </c>
      <c r="F37" s="78">
        <f t="shared" si="52"/>
        <v>947351.91</v>
      </c>
      <c r="G37" s="321">
        <f t="shared" si="52"/>
        <v>943927.75</v>
      </c>
      <c r="H37" s="87">
        <f t="shared" si="52"/>
        <v>955193.81</v>
      </c>
      <c r="I37" s="87">
        <f t="shared" si="52"/>
        <v>962172.22</v>
      </c>
      <c r="J37" s="45">
        <f>(K37-I37)/I37</f>
        <v>1.7190789399428375E-3</v>
      </c>
      <c r="K37" s="87">
        <f>K34+K35+K36</f>
        <v>963826.27</v>
      </c>
      <c r="L37" s="46">
        <f>(M37-K37)/K37</f>
        <v>8.781883481968138E-3</v>
      </c>
      <c r="M37" s="78">
        <f>M34+M35+M36</f>
        <v>972290.48</v>
      </c>
      <c r="N37" s="46">
        <f>(O37-M37)/M37</f>
        <v>0.10685477451141956</v>
      </c>
      <c r="O37" s="78">
        <f>O34+O35+O36</f>
        <v>1076184.3599999999</v>
      </c>
      <c r="P37" s="46">
        <f>(Q37-O37)/O37</f>
        <v>-2.5103598420627357E-2</v>
      </c>
      <c r="Q37" s="78">
        <f>Q34+Q35+Q36</f>
        <v>1049168.26</v>
      </c>
      <c r="R37" s="46">
        <f>(S37-Q37)/Q37</f>
        <v>6.6990541631520434E-2</v>
      </c>
      <c r="S37" s="78">
        <f>S34+S35+S36</f>
        <v>1119452.6099999999</v>
      </c>
      <c r="T37" s="46">
        <f>(U37-S37)/S37</f>
        <v>3.7366014270135299E-2</v>
      </c>
      <c r="U37" s="78">
        <f>U34+U35+U36</f>
        <v>1161282.0922000001</v>
      </c>
      <c r="V37" s="46">
        <f>(W37-U37)/U37</f>
        <v>-0.82377494341938495</v>
      </c>
      <c r="W37" s="78">
        <f>W34+W35+W36</f>
        <v>204647.002404</v>
      </c>
      <c r="X37" s="46">
        <f>(Y37-W37)/W37</f>
        <v>1.7090593841073747E-2</v>
      </c>
      <c r="Y37" s="78">
        <f>Y34+Y35+Y36</f>
        <v>208144.54120288001</v>
      </c>
      <c r="Z37" s="46">
        <f>(AA37-Y37)/Y37</f>
        <v>1.7170158375175128E-2</v>
      </c>
      <c r="AA37" s="78">
        <f>AA34+AA35+AA36</f>
        <v>211718.41594026162</v>
      </c>
      <c r="AB37" s="46">
        <f>(AC37-AA37)/AA37</f>
        <v>1.7026647084616851E-2</v>
      </c>
      <c r="AC37" s="78">
        <f>AC34+AC35+AC36</f>
        <v>215323.27068979057</v>
      </c>
      <c r="AD37" s="1016" t="s">
        <v>184</v>
      </c>
      <c r="AE37" s="1017"/>
      <c r="AF37" s="1017"/>
      <c r="AG37" s="1017"/>
      <c r="AH37" s="1018"/>
    </row>
    <row r="38" spans="1:38" s="7" customFormat="1" ht="12.75" customHeight="1" x14ac:dyDescent="0.25">
      <c r="A38" s="10"/>
      <c r="B38" s="11"/>
      <c r="C38" s="79"/>
      <c r="D38" s="79"/>
      <c r="E38" s="79"/>
      <c r="F38" s="79"/>
      <c r="G38" s="79"/>
      <c r="H38" s="375"/>
      <c r="I38" s="79"/>
      <c r="J38" s="12"/>
      <c r="K38" s="79"/>
      <c r="L38" s="12"/>
      <c r="M38" s="79"/>
      <c r="N38" s="12"/>
      <c r="O38" s="79"/>
      <c r="P38" s="12"/>
      <c r="Q38" s="79"/>
      <c r="R38" s="12"/>
      <c r="S38" s="79"/>
      <c r="T38" s="12"/>
      <c r="U38" s="79"/>
      <c r="V38" s="12"/>
      <c r="W38" s="79"/>
      <c r="X38" s="12"/>
      <c r="Y38" s="79"/>
      <c r="Z38" s="12"/>
      <c r="AA38" s="79"/>
      <c r="AB38" s="12"/>
      <c r="AC38" s="79"/>
      <c r="AD38" s="12"/>
      <c r="AE38" s="79"/>
      <c r="AF38" s="425"/>
      <c r="AG38" s="425"/>
      <c r="AH38" s="425"/>
      <c r="AI38" s="127"/>
    </row>
    <row r="39" spans="1:38" ht="104.25" customHeight="1" x14ac:dyDescent="0.25">
      <c r="A39" s="886" t="s">
        <v>170</v>
      </c>
      <c r="B39" s="939"/>
      <c r="C39" s="80" t="str">
        <f>C3</f>
        <v xml:space="preserve">2013/14 Actual Audit Figures </v>
      </c>
      <c r="D39" s="80" t="str">
        <f>D3</f>
        <v xml:space="preserve">2014/15 Actuals </v>
      </c>
      <c r="E39" s="156" t="s">
        <v>215</v>
      </c>
      <c r="F39" s="80" t="str">
        <f t="shared" ref="F39:AD39" si="53">F3</f>
        <v>2016/17 Income Audited Year End</v>
      </c>
      <c r="G39" s="319" t="str">
        <f t="shared" si="53"/>
        <v>2017/18 Audited Figures</v>
      </c>
      <c r="H39" s="319" t="str">
        <f t="shared" si="53"/>
        <v>2018/19 Actual as at 16/5/19</v>
      </c>
      <c r="I39" s="80" t="str">
        <f t="shared" si="53"/>
        <v>2019/20 Audited Figures</v>
      </c>
      <c r="J39" s="23" t="str">
        <f t="shared" si="53"/>
        <v>2020/21  % change</v>
      </c>
      <c r="K39" s="80" t="str">
        <f t="shared" si="53"/>
        <v>2020/21              Audited Figures</v>
      </c>
      <c r="L39" s="23" t="str">
        <f t="shared" si="53"/>
        <v>2021/22  % change</v>
      </c>
      <c r="M39" s="450" t="str">
        <f t="shared" si="53"/>
        <v>2021/22 Audited Figures</v>
      </c>
      <c r="N39" s="23" t="str">
        <f t="shared" si="53"/>
        <v>2022/23  % change</v>
      </c>
      <c r="O39" s="80" t="str">
        <f t="shared" si="53"/>
        <v>2022/23 - Audited Figures</v>
      </c>
      <c r="P39" s="23" t="str">
        <f t="shared" si="53"/>
        <v>2023/24  % change</v>
      </c>
      <c r="Q39" s="80" t="str">
        <f t="shared" si="53"/>
        <v>2023/24 - Audited Figures</v>
      </c>
      <c r="R39" s="23" t="str">
        <f t="shared" si="53"/>
        <v>2024.25  % change</v>
      </c>
      <c r="S39" s="450" t="str">
        <f t="shared" si="53"/>
        <v>2024/25 Actuals @ 20/5/25</v>
      </c>
      <c r="T39" s="23" t="str">
        <f t="shared" si="53"/>
        <v>2025/26  % change</v>
      </c>
      <c r="U39" s="80" t="str">
        <f t="shared" si="53"/>
        <v>2025/26 - To Jan 26 Finance</v>
      </c>
      <c r="V39" s="23" t="str">
        <f t="shared" si="53"/>
        <v>2026/27  % change</v>
      </c>
      <c r="W39" s="80" t="str">
        <f t="shared" si="53"/>
        <v>2026/27 Approved Budget @ 21/1/26</v>
      </c>
      <c r="X39" s="23" t="str">
        <f t="shared" si="53"/>
        <v>2027/28  % change</v>
      </c>
      <c r="Y39" s="80" t="str">
        <f t="shared" si="53"/>
        <v>2027/28 Estimated Projection</v>
      </c>
      <c r="Z39" s="23" t="str">
        <f t="shared" ref="Z39:AA39" si="54">Z3</f>
        <v>2028/29  % change</v>
      </c>
      <c r="AA39" s="80" t="str">
        <f t="shared" si="54"/>
        <v>2028/29 Estimated Projection</v>
      </c>
      <c r="AB39" s="23" t="str">
        <f t="shared" ref="AB39:AC39" si="55">AB3</f>
        <v>2028/29  % change</v>
      </c>
      <c r="AC39" s="80" t="str">
        <f t="shared" si="55"/>
        <v>2029/30 Estimated Projection</v>
      </c>
      <c r="AD39" s="893" t="str">
        <f t="shared" si="53"/>
        <v xml:space="preserve"> DETAILS </v>
      </c>
      <c r="AE39" s="925"/>
      <c r="AF39" s="925"/>
      <c r="AG39" s="925"/>
      <c r="AH39" s="926"/>
    </row>
    <row r="40" spans="1:38" ht="54" customHeight="1" x14ac:dyDescent="0.25">
      <c r="A40" s="886" t="s">
        <v>32</v>
      </c>
      <c r="B40" s="939"/>
      <c r="C40" s="81"/>
      <c r="D40" s="81"/>
      <c r="E40" s="137"/>
      <c r="F40" s="137"/>
      <c r="G40" s="137"/>
      <c r="H40" s="376"/>
      <c r="I40" s="137"/>
      <c r="J40" s="8"/>
      <c r="K40" s="137"/>
      <c r="L40" s="8"/>
      <c r="M40" s="137"/>
      <c r="N40" s="8"/>
      <c r="O40" s="376"/>
      <c r="P40" s="8"/>
      <c r="Q40" s="546"/>
      <c r="R40" s="8"/>
      <c r="S40" s="546"/>
      <c r="T40" s="8"/>
      <c r="U40" s="577"/>
      <c r="V40" s="8"/>
      <c r="W40" s="81"/>
      <c r="X40" s="8"/>
      <c r="Y40" s="81"/>
      <c r="Z40" s="8"/>
      <c r="AA40" s="81"/>
      <c r="AB40" s="8"/>
      <c r="AC40" s="81"/>
      <c r="AD40" s="743"/>
      <c r="AE40" s="744"/>
      <c r="AF40" s="744"/>
      <c r="AG40" s="744"/>
      <c r="AH40" s="745"/>
    </row>
    <row r="41" spans="1:38" ht="20.25" customHeight="1" x14ac:dyDescent="0.25">
      <c r="A41" s="358">
        <v>5000</v>
      </c>
      <c r="B41" s="368" t="s">
        <v>33</v>
      </c>
      <c r="C41" s="360"/>
      <c r="D41" s="360"/>
      <c r="E41" s="360"/>
      <c r="F41" s="360"/>
      <c r="G41" s="367"/>
      <c r="H41" s="360"/>
      <c r="I41" s="360"/>
      <c r="J41" s="361"/>
      <c r="K41" s="360"/>
      <c r="L41" s="361"/>
      <c r="M41" s="360"/>
      <c r="N41" s="361"/>
      <c r="O41" s="360"/>
      <c r="P41" s="361"/>
      <c r="Q41" s="363"/>
      <c r="R41" s="361"/>
      <c r="S41" s="363"/>
      <c r="T41" s="361"/>
      <c r="U41" s="360"/>
      <c r="V41" s="361"/>
      <c r="W41" s="360"/>
      <c r="X41" s="361"/>
      <c r="Y41" s="360"/>
      <c r="Z41" s="361"/>
      <c r="AA41" s="360"/>
      <c r="AB41" s="361"/>
      <c r="AC41" s="360"/>
      <c r="AD41" s="732" t="s">
        <v>6</v>
      </c>
      <c r="AE41" s="733"/>
      <c r="AF41" s="733"/>
      <c r="AG41" s="733"/>
      <c r="AH41" s="734"/>
    </row>
    <row r="42" spans="1:38" ht="40.5" customHeight="1" x14ac:dyDescent="0.25">
      <c r="A42" s="2">
        <v>5008</v>
      </c>
      <c r="B42" s="3" t="s">
        <v>152</v>
      </c>
      <c r="C42" s="75">
        <v>4206.3100000000004</v>
      </c>
      <c r="D42" s="77">
        <v>3767.21</v>
      </c>
      <c r="E42" s="77">
        <v>3314.13</v>
      </c>
      <c r="F42" s="77">
        <v>2829.61</v>
      </c>
      <c r="G42" s="338">
        <v>2357.38</v>
      </c>
      <c r="H42" s="77">
        <v>1698.1</v>
      </c>
      <c r="I42" s="77">
        <v>1368.41</v>
      </c>
      <c r="J42" s="8">
        <f t="shared" ref="J42" si="56">(K42-I42)/I42</f>
        <v>-0.37256377839974864</v>
      </c>
      <c r="K42" s="77">
        <v>858.59</v>
      </c>
      <c r="L42" s="8">
        <f t="shared" ref="L42" si="57">(M42-K42)/K42</f>
        <v>-0.60601684156582303</v>
      </c>
      <c r="M42" s="77">
        <v>338.27</v>
      </c>
      <c r="N42" s="8">
        <f t="shared" ref="N42" si="58">(O42-M42)/M42</f>
        <v>-1</v>
      </c>
      <c r="O42" s="77">
        <v>0</v>
      </c>
      <c r="P42" s="8" t="e">
        <f t="shared" ref="P42" si="59">(Q42-O42)/O42</f>
        <v>#DIV/0!</v>
      </c>
      <c r="Q42" s="77">
        <v>0</v>
      </c>
      <c r="R42" s="8" t="e">
        <f>(S42-Q42)/Q42</f>
        <v>#DIV/0!</v>
      </c>
      <c r="S42" s="77">
        <v>0</v>
      </c>
      <c r="T42" s="8" t="e">
        <f>(U42-S42)/S42</f>
        <v>#DIV/0!</v>
      </c>
      <c r="U42" s="521">
        <v>0</v>
      </c>
      <c r="V42" s="8" t="e">
        <f>(W42-U42)/U42</f>
        <v>#DIV/0!</v>
      </c>
      <c r="W42" s="77">
        <v>0</v>
      </c>
      <c r="X42" s="8" t="e">
        <f>(Y42-W42)/W42</f>
        <v>#DIV/0!</v>
      </c>
      <c r="Y42" s="77">
        <v>0</v>
      </c>
      <c r="Z42" s="8" t="e">
        <f>(AA42-Y42)/Y42</f>
        <v>#DIV/0!</v>
      </c>
      <c r="AA42" s="77">
        <v>0</v>
      </c>
      <c r="AB42" s="8" t="e">
        <f>(AC42-AA42)/AA42</f>
        <v>#DIV/0!</v>
      </c>
      <c r="AC42" s="77">
        <v>0</v>
      </c>
      <c r="AD42" s="737" t="s">
        <v>218</v>
      </c>
      <c r="AE42" s="738"/>
      <c r="AF42" s="738"/>
      <c r="AG42" s="738"/>
      <c r="AH42" s="739"/>
    </row>
    <row r="43" spans="1:38" ht="39.75" customHeight="1" x14ac:dyDescent="0.25">
      <c r="A43" s="2">
        <v>5009</v>
      </c>
      <c r="B43" s="3" t="s">
        <v>151</v>
      </c>
      <c r="C43" s="75">
        <v>21843.42</v>
      </c>
      <c r="D43" s="77">
        <v>22293.51</v>
      </c>
      <c r="E43" s="77">
        <v>22752.87</v>
      </c>
      <c r="F43" s="77">
        <v>23221.7</v>
      </c>
      <c r="G43" s="338">
        <v>23700.18</v>
      </c>
      <c r="H43" s="77">
        <v>24188.52</v>
      </c>
      <c r="I43" s="77">
        <v>24686.93</v>
      </c>
      <c r="J43" s="8" t="s">
        <v>150</v>
      </c>
      <c r="K43" s="77">
        <v>25195.61</v>
      </c>
      <c r="L43" s="8" t="s">
        <v>150</v>
      </c>
      <c r="M43" s="77">
        <v>25714.83</v>
      </c>
      <c r="N43" s="8" t="s">
        <v>150</v>
      </c>
      <c r="O43" s="77">
        <v>0</v>
      </c>
      <c r="P43" s="8" t="s">
        <v>150</v>
      </c>
      <c r="Q43" s="77">
        <v>0</v>
      </c>
      <c r="R43" s="8" t="s">
        <v>150</v>
      </c>
      <c r="S43" s="77">
        <v>0</v>
      </c>
      <c r="T43" s="8" t="s">
        <v>150</v>
      </c>
      <c r="U43" s="521">
        <v>0</v>
      </c>
      <c r="V43" s="8" t="s">
        <v>150</v>
      </c>
      <c r="W43" s="77">
        <v>0</v>
      </c>
      <c r="X43" s="8" t="s">
        <v>150</v>
      </c>
      <c r="Y43" s="77">
        <v>0</v>
      </c>
      <c r="Z43" s="8" t="s">
        <v>150</v>
      </c>
      <c r="AA43" s="77">
        <v>0</v>
      </c>
      <c r="AB43" s="8" t="s">
        <v>150</v>
      </c>
      <c r="AC43" s="77">
        <v>0</v>
      </c>
      <c r="AD43" s="737" t="s">
        <v>219</v>
      </c>
      <c r="AE43" s="738"/>
      <c r="AF43" s="738"/>
      <c r="AG43" s="738"/>
      <c r="AH43" s="739"/>
    </row>
    <row r="44" spans="1:38" ht="20.45" customHeight="1" x14ac:dyDescent="0.25">
      <c r="A44" s="358">
        <v>5010</v>
      </c>
      <c r="B44" s="359" t="s">
        <v>176</v>
      </c>
      <c r="C44" s="360"/>
      <c r="D44" s="360"/>
      <c r="E44" s="360"/>
      <c r="F44" s="363"/>
      <c r="G44" s="367"/>
      <c r="H44" s="377"/>
      <c r="I44" s="360"/>
      <c r="J44" s="361"/>
      <c r="K44" s="360"/>
      <c r="L44" s="361"/>
      <c r="M44" s="360"/>
      <c r="N44" s="361"/>
      <c r="O44" s="360"/>
      <c r="P44" s="361"/>
      <c r="Q44" s="360"/>
      <c r="R44" s="361"/>
      <c r="S44" s="360"/>
      <c r="T44" s="361"/>
      <c r="U44" s="360"/>
      <c r="V44" s="361"/>
      <c r="W44" s="360"/>
      <c r="X44" s="361"/>
      <c r="Y44" s="360"/>
      <c r="Z44" s="361"/>
      <c r="AA44" s="360"/>
      <c r="AB44" s="361"/>
      <c r="AC44" s="360"/>
      <c r="AD44" s="732" t="s">
        <v>6</v>
      </c>
      <c r="AE44" s="733"/>
      <c r="AF44" s="733"/>
      <c r="AG44" s="733"/>
      <c r="AH44" s="734"/>
      <c r="AL44" s="97"/>
    </row>
    <row r="45" spans="1:38" ht="46.5" customHeight="1" x14ac:dyDescent="0.25">
      <c r="A45" s="69">
        <v>5011</v>
      </c>
      <c r="B45" s="120" t="s">
        <v>166</v>
      </c>
      <c r="C45" s="75">
        <v>12717</v>
      </c>
      <c r="D45" s="77">
        <v>13014</v>
      </c>
      <c r="E45" s="77">
        <v>13311</v>
      </c>
      <c r="F45" s="77">
        <v>13419</v>
      </c>
      <c r="G45" s="338">
        <v>12232.5</v>
      </c>
      <c r="H45" s="77">
        <v>12600</v>
      </c>
      <c r="I45" s="77">
        <v>12888.75</v>
      </c>
      <c r="J45" s="8">
        <f>(K45-I45)/I45</f>
        <v>1.6293279022403257E-2</v>
      </c>
      <c r="K45" s="77">
        <v>13098.75</v>
      </c>
      <c r="L45" s="8">
        <f>(M45-K45)/K45</f>
        <v>0</v>
      </c>
      <c r="M45" s="77">
        <v>13098.75</v>
      </c>
      <c r="N45" s="8">
        <f>(O45-M45)/M45</f>
        <v>0</v>
      </c>
      <c r="O45" s="77">
        <v>13098.75</v>
      </c>
      <c r="P45" s="8">
        <f>(Q45-O45)/O45</f>
        <v>0.14999980914209368</v>
      </c>
      <c r="Q45" s="77">
        <v>15063.56</v>
      </c>
      <c r="R45" s="8">
        <f t="shared" ref="R45:R60" si="60">(S45-Q45)/Q45</f>
        <v>4.3478434048790628E-2</v>
      </c>
      <c r="S45" s="77">
        <v>15718.5</v>
      </c>
      <c r="T45" s="8">
        <f t="shared" ref="T45:T60" si="61">(U45-S45)/S45</f>
        <v>3.1809651048127999E-5</v>
      </c>
      <c r="U45" s="521">
        <v>15719</v>
      </c>
      <c r="V45" s="8">
        <f t="shared" ref="V45:V60" si="62">(W45-U45)/U45</f>
        <v>2.9999999999999982E-2</v>
      </c>
      <c r="W45" s="75">
        <f>U45*1.03</f>
        <v>16190.57</v>
      </c>
      <c r="X45" s="8">
        <f t="shared" ref="X45:X69" si="63">(Y45-W45)/W45</f>
        <v>3.0000000000000103E-2</v>
      </c>
      <c r="Y45" s="75">
        <f>W45*1.03</f>
        <v>16676.287100000001</v>
      </c>
      <c r="Z45" s="8">
        <f t="shared" ref="Z45:Z76" si="64">(AA45-Y45)/Y45</f>
        <v>3.0000000000000034E-2</v>
      </c>
      <c r="AA45" s="75">
        <f>Y45*1.03</f>
        <v>17176.575713000002</v>
      </c>
      <c r="AB45" s="8">
        <f t="shared" ref="AB45:AB76" si="65">(AC45-AA45)/AA45</f>
        <v>3.0000000000000096E-2</v>
      </c>
      <c r="AC45" s="75">
        <f>AA45*1.03</f>
        <v>17691.872984390004</v>
      </c>
      <c r="AD45" s="723" t="s">
        <v>424</v>
      </c>
      <c r="AE45" s="735"/>
      <c r="AF45" s="735"/>
      <c r="AG45" s="735"/>
      <c r="AH45" s="736"/>
      <c r="AI45" s="785"/>
      <c r="AJ45" s="786"/>
      <c r="AK45" s="786"/>
      <c r="AL45" s="787"/>
    </row>
    <row r="46" spans="1:38" ht="33" customHeight="1" x14ac:dyDescent="0.2">
      <c r="A46" s="2">
        <v>5012</v>
      </c>
      <c r="B46" s="3" t="s">
        <v>48</v>
      </c>
      <c r="C46" s="75">
        <v>2</v>
      </c>
      <c r="D46" s="77">
        <v>2</v>
      </c>
      <c r="E46" s="77">
        <v>2</v>
      </c>
      <c r="F46" s="77">
        <v>2</v>
      </c>
      <c r="G46" s="338">
        <v>2</v>
      </c>
      <c r="H46" s="77">
        <v>2</v>
      </c>
      <c r="I46" s="77">
        <v>2</v>
      </c>
      <c r="J46" s="8">
        <f t="shared" ref="J46:J57" si="66">(K46-I46)/I46</f>
        <v>-1</v>
      </c>
      <c r="K46" s="77">
        <v>0</v>
      </c>
      <c r="L46" s="8" t="e">
        <f t="shared" ref="L46:L57" si="67">(M46-K46)/K46</f>
        <v>#DIV/0!</v>
      </c>
      <c r="M46" s="77">
        <v>0</v>
      </c>
      <c r="N46" s="8" t="e">
        <f t="shared" ref="N46:N57" si="68">(O46-M46)/M46</f>
        <v>#DIV/0!</v>
      </c>
      <c r="O46" s="77">
        <v>0</v>
      </c>
      <c r="P46" s="8" t="e">
        <f t="shared" ref="P46:P57" si="69">(Q46-O46)/O46</f>
        <v>#DIV/0!</v>
      </c>
      <c r="Q46" s="77">
        <v>0</v>
      </c>
      <c r="R46" s="361" t="e">
        <f t="shared" si="60"/>
        <v>#DIV/0!</v>
      </c>
      <c r="S46" s="360">
        <v>0</v>
      </c>
      <c r="T46" s="361" t="e">
        <f t="shared" si="61"/>
        <v>#DIV/0!</v>
      </c>
      <c r="U46" s="360">
        <v>0</v>
      </c>
      <c r="V46" s="361" t="e">
        <f t="shared" si="62"/>
        <v>#DIV/0!</v>
      </c>
      <c r="W46" s="360">
        <v>0</v>
      </c>
      <c r="X46" s="361" t="e">
        <f t="shared" si="63"/>
        <v>#DIV/0!</v>
      </c>
      <c r="Y46" s="360">
        <v>0</v>
      </c>
      <c r="Z46" s="361" t="e">
        <f t="shared" si="64"/>
        <v>#DIV/0!</v>
      </c>
      <c r="AA46" s="360">
        <v>0</v>
      </c>
      <c r="AB46" s="361" t="e">
        <f t="shared" si="65"/>
        <v>#DIV/0!</v>
      </c>
      <c r="AC46" s="360">
        <v>0</v>
      </c>
      <c r="AD46" s="902" t="s">
        <v>333</v>
      </c>
      <c r="AE46" s="1028"/>
      <c r="AF46" s="1028"/>
      <c r="AG46" s="1028"/>
      <c r="AH46" s="1029"/>
    </row>
    <row r="47" spans="1:38" ht="126.75" customHeight="1" x14ac:dyDescent="0.25">
      <c r="A47" s="2">
        <v>5013</v>
      </c>
      <c r="B47" s="3" t="s">
        <v>49</v>
      </c>
      <c r="C47" s="75">
        <v>2766.7</v>
      </c>
      <c r="D47" s="77">
        <v>2339.98</v>
      </c>
      <c r="E47" s="77">
        <v>2555.35</v>
      </c>
      <c r="F47" s="77">
        <v>2655.04</v>
      </c>
      <c r="G47" s="338">
        <v>2791.33</v>
      </c>
      <c r="H47" s="77">
        <v>2700.05</v>
      </c>
      <c r="I47" s="77">
        <v>2864.56</v>
      </c>
      <c r="J47" s="8">
        <f t="shared" si="66"/>
        <v>0.1300513866003854</v>
      </c>
      <c r="K47" s="77">
        <v>3237.1</v>
      </c>
      <c r="L47" s="8">
        <f t="shared" si="67"/>
        <v>4.4410120169287394E-2</v>
      </c>
      <c r="M47" s="77">
        <v>3380.86</v>
      </c>
      <c r="N47" s="8">
        <f t="shared" si="68"/>
        <v>0.10907579728234827</v>
      </c>
      <c r="O47" s="77">
        <v>3749.63</v>
      </c>
      <c r="P47" s="8">
        <f t="shared" si="69"/>
        <v>-0.1517909767097021</v>
      </c>
      <c r="Q47" s="77">
        <v>3180.47</v>
      </c>
      <c r="R47" s="8">
        <f t="shared" si="60"/>
        <v>0.19384556370599315</v>
      </c>
      <c r="S47" s="77">
        <v>3796.99</v>
      </c>
      <c r="T47" s="8">
        <f t="shared" si="61"/>
        <v>3.0000079009952704E-2</v>
      </c>
      <c r="U47" s="521">
        <v>3910.9</v>
      </c>
      <c r="V47" s="8">
        <f t="shared" si="62"/>
        <v>7.3921603722928206E-2</v>
      </c>
      <c r="W47" s="77">
        <v>4200</v>
      </c>
      <c r="X47" s="8">
        <f t="shared" si="63"/>
        <v>0.03</v>
      </c>
      <c r="Y47" s="75">
        <f>W47*1.03</f>
        <v>4326</v>
      </c>
      <c r="Z47" s="8">
        <f t="shared" si="64"/>
        <v>2.999999999999994E-2</v>
      </c>
      <c r="AA47" s="75">
        <f>Y47*1.03</f>
        <v>4455.78</v>
      </c>
      <c r="AB47" s="8">
        <f t="shared" si="65"/>
        <v>2.999999999999993E-2</v>
      </c>
      <c r="AC47" s="75">
        <f>AA47*1.03</f>
        <v>4589.4533999999994</v>
      </c>
      <c r="AD47" s="676" t="s">
        <v>450</v>
      </c>
      <c r="AE47" s="709"/>
      <c r="AF47" s="709"/>
      <c r="AG47" s="709"/>
      <c r="AH47" s="710"/>
      <c r="AI47" s="791" t="s">
        <v>465</v>
      </c>
      <c r="AJ47" s="812"/>
    </row>
    <row r="48" spans="1:38" ht="53.25" customHeight="1" x14ac:dyDescent="0.25">
      <c r="A48" s="2">
        <v>5014</v>
      </c>
      <c r="B48" s="3" t="s">
        <v>50</v>
      </c>
      <c r="C48" s="75">
        <v>321.27999999999997</v>
      </c>
      <c r="D48" s="77">
        <v>146.75</v>
      </c>
      <c r="E48" s="77">
        <v>192.39</v>
      </c>
      <c r="F48" s="77">
        <v>260.36</v>
      </c>
      <c r="G48" s="338">
        <v>179.4</v>
      </c>
      <c r="H48" s="77">
        <v>379.33</v>
      </c>
      <c r="I48" s="77">
        <v>294.60000000000002</v>
      </c>
      <c r="J48" s="8">
        <f t="shared" si="66"/>
        <v>-0.91615750169721666</v>
      </c>
      <c r="K48" s="77">
        <v>24.7</v>
      </c>
      <c r="L48" s="8">
        <f t="shared" si="67"/>
        <v>-1</v>
      </c>
      <c r="M48" s="360">
        <v>0</v>
      </c>
      <c r="N48" s="361" t="e">
        <f t="shared" si="68"/>
        <v>#DIV/0!</v>
      </c>
      <c r="O48" s="360">
        <v>0</v>
      </c>
      <c r="P48" s="361" t="e">
        <f t="shared" si="69"/>
        <v>#DIV/0!</v>
      </c>
      <c r="Q48" s="360">
        <f t="shared" ref="Q48" si="70">O48*1.03</f>
        <v>0</v>
      </c>
      <c r="R48" s="361" t="e">
        <f t="shared" si="60"/>
        <v>#DIV/0!</v>
      </c>
      <c r="S48" s="360">
        <f>Q48*1.03</f>
        <v>0</v>
      </c>
      <c r="T48" s="361" t="e">
        <f t="shared" si="61"/>
        <v>#DIV/0!</v>
      </c>
      <c r="U48" s="360">
        <f>S48*1.03</f>
        <v>0</v>
      </c>
      <c r="V48" s="361" t="e">
        <f t="shared" si="62"/>
        <v>#DIV/0!</v>
      </c>
      <c r="W48" s="360">
        <f>U48*1.03</f>
        <v>0</v>
      </c>
      <c r="X48" s="361" t="e">
        <f t="shared" si="63"/>
        <v>#DIV/0!</v>
      </c>
      <c r="Y48" s="360">
        <f>W48*1.03</f>
        <v>0</v>
      </c>
      <c r="Z48" s="361" t="e">
        <f t="shared" si="64"/>
        <v>#DIV/0!</v>
      </c>
      <c r="AA48" s="360">
        <f>Y48*1.03</f>
        <v>0</v>
      </c>
      <c r="AB48" s="361" t="e">
        <f t="shared" si="65"/>
        <v>#DIV/0!</v>
      </c>
      <c r="AC48" s="360">
        <f>AA48*1.03</f>
        <v>0</v>
      </c>
      <c r="AD48" s="740" t="s">
        <v>372</v>
      </c>
      <c r="AE48" s="741"/>
      <c r="AF48" s="741"/>
      <c r="AG48" s="741"/>
      <c r="AH48" s="742"/>
      <c r="AI48" s="422"/>
    </row>
    <row r="49" spans="1:38" ht="141.75" customHeight="1" x14ac:dyDescent="0.25">
      <c r="A49" s="2">
        <v>5015</v>
      </c>
      <c r="B49" s="3" t="s">
        <v>51</v>
      </c>
      <c r="C49" s="75">
        <v>2399.4</v>
      </c>
      <c r="D49" s="77">
        <v>1403.75</v>
      </c>
      <c r="E49" s="77">
        <v>1091.05</v>
      </c>
      <c r="F49" s="77">
        <v>1422.8</v>
      </c>
      <c r="G49" s="338">
        <v>3246.9</v>
      </c>
      <c r="H49" s="77">
        <v>2174.58</v>
      </c>
      <c r="I49" s="77">
        <v>2327.98</v>
      </c>
      <c r="J49" s="8">
        <f t="shared" si="66"/>
        <v>-0.46015859242777002</v>
      </c>
      <c r="K49" s="77">
        <v>1256.74</v>
      </c>
      <c r="L49" s="8">
        <f t="shared" si="67"/>
        <v>0.89796616643060612</v>
      </c>
      <c r="M49" s="77">
        <v>2385.25</v>
      </c>
      <c r="N49" s="8">
        <f t="shared" si="68"/>
        <v>-0.62076931139293579</v>
      </c>
      <c r="O49" s="77">
        <v>904.56</v>
      </c>
      <c r="P49" s="8">
        <f t="shared" si="69"/>
        <v>1.9378924560007078</v>
      </c>
      <c r="Q49" s="77">
        <v>2657.5</v>
      </c>
      <c r="R49" s="8">
        <f t="shared" si="60"/>
        <v>-0.9454374412041392</v>
      </c>
      <c r="S49" s="77">
        <v>145</v>
      </c>
      <c r="T49" s="8">
        <f t="shared" si="61"/>
        <v>19.600000000000001</v>
      </c>
      <c r="U49" s="578">
        <v>2987</v>
      </c>
      <c r="V49" s="8">
        <f t="shared" si="62"/>
        <v>3.0000000000000044E-2</v>
      </c>
      <c r="W49" s="75">
        <f>U49*1.03</f>
        <v>3076.61</v>
      </c>
      <c r="X49" s="8">
        <f t="shared" si="63"/>
        <v>2.9999999999999975E-2</v>
      </c>
      <c r="Y49" s="75">
        <f>W49*1.03</f>
        <v>3168.9083000000001</v>
      </c>
      <c r="Z49" s="8">
        <f t="shared" si="64"/>
        <v>3.0000000000000054E-2</v>
      </c>
      <c r="AA49" s="75">
        <f>Y49*1.03</f>
        <v>3263.9755490000002</v>
      </c>
      <c r="AB49" s="8">
        <f t="shared" si="65"/>
        <v>2.9999999999999971E-2</v>
      </c>
      <c r="AC49" s="75">
        <f>AA49*1.03</f>
        <v>3361.8948154700001</v>
      </c>
      <c r="AD49" s="726" t="s">
        <v>415</v>
      </c>
      <c r="AE49" s="727"/>
      <c r="AF49" s="727"/>
      <c r="AG49" s="727"/>
      <c r="AH49" s="728"/>
      <c r="AI49" s="820"/>
      <c r="AJ49" s="821"/>
    </row>
    <row r="50" spans="1:38" s="7" customFormat="1" ht="160.5" customHeight="1" x14ac:dyDescent="0.25">
      <c r="A50" s="69">
        <v>5016</v>
      </c>
      <c r="B50" s="120" t="s">
        <v>52</v>
      </c>
      <c r="C50" s="75">
        <v>3565</v>
      </c>
      <c r="D50" s="77">
        <v>2257</v>
      </c>
      <c r="E50" s="77">
        <v>2578.0500000000002</v>
      </c>
      <c r="F50" s="157">
        <v>1945.5</v>
      </c>
      <c r="G50" s="338">
        <v>2643.05</v>
      </c>
      <c r="H50" s="77">
        <v>2940.3</v>
      </c>
      <c r="I50" s="77">
        <v>2858.3</v>
      </c>
      <c r="J50" s="8">
        <f t="shared" si="66"/>
        <v>-4.4187104222789833E-2</v>
      </c>
      <c r="K50" s="77">
        <v>2732</v>
      </c>
      <c r="L50" s="8">
        <f t="shared" si="67"/>
        <v>-1.2079062957540264E-2</v>
      </c>
      <c r="M50" s="77">
        <v>2699</v>
      </c>
      <c r="N50" s="8">
        <f t="shared" si="68"/>
        <v>0.15376065209336792</v>
      </c>
      <c r="O50" s="77">
        <v>3114</v>
      </c>
      <c r="P50" s="8">
        <f t="shared" si="69"/>
        <v>-0.29222864482980088</v>
      </c>
      <c r="Q50" s="77">
        <v>2204</v>
      </c>
      <c r="R50" s="8">
        <f t="shared" si="60"/>
        <v>0.13883847549909256</v>
      </c>
      <c r="S50" s="77">
        <v>2510</v>
      </c>
      <c r="T50" s="8">
        <f t="shared" si="61"/>
        <v>0.12749003984063745</v>
      </c>
      <c r="U50" s="608">
        <v>2830</v>
      </c>
      <c r="V50" s="8">
        <f t="shared" si="62"/>
        <v>0.13074204946996468</v>
      </c>
      <c r="W50" s="609">
        <v>3200</v>
      </c>
      <c r="X50" s="8">
        <f t="shared" si="63"/>
        <v>0.03</v>
      </c>
      <c r="Y50" s="77">
        <f>W50*1.03</f>
        <v>3296</v>
      </c>
      <c r="Z50" s="8">
        <f t="shared" si="64"/>
        <v>3.0000000000000034E-2</v>
      </c>
      <c r="AA50" s="77">
        <f>Y50*1.03</f>
        <v>3394.88</v>
      </c>
      <c r="AB50" s="8">
        <f t="shared" si="65"/>
        <v>2.9999999999999971E-2</v>
      </c>
      <c r="AC50" s="77">
        <f>AA50*1.03</f>
        <v>3496.7264</v>
      </c>
      <c r="AD50" s="676" t="s">
        <v>492</v>
      </c>
      <c r="AE50" s="706"/>
      <c r="AF50" s="706"/>
      <c r="AG50" s="706"/>
      <c r="AH50" s="707"/>
      <c r="AI50" s="818"/>
      <c r="AJ50" s="819"/>
      <c r="AK50" s="819"/>
    </row>
    <row r="51" spans="1:38" ht="135.75" customHeight="1" x14ac:dyDescent="0.25">
      <c r="A51" s="2">
        <v>5017</v>
      </c>
      <c r="B51" s="3" t="s">
        <v>53</v>
      </c>
      <c r="C51" s="75">
        <v>1069.07</v>
      </c>
      <c r="D51" s="77">
        <v>1141.49</v>
      </c>
      <c r="E51" s="77">
        <v>1201.92</v>
      </c>
      <c r="F51" s="77">
        <v>1327.37</v>
      </c>
      <c r="G51" s="338">
        <v>1067.68</v>
      </c>
      <c r="H51" s="77">
        <v>1054.3</v>
      </c>
      <c r="I51" s="77">
        <v>1074.2</v>
      </c>
      <c r="J51" s="8">
        <f t="shared" si="66"/>
        <v>1.2167194191025876</v>
      </c>
      <c r="K51" s="77">
        <v>2381.1999999999998</v>
      </c>
      <c r="L51" s="8">
        <f t="shared" si="67"/>
        <v>-0.64035780278850996</v>
      </c>
      <c r="M51" s="77">
        <v>856.38</v>
      </c>
      <c r="N51" s="8">
        <f t="shared" si="68"/>
        <v>1.4632522945421425</v>
      </c>
      <c r="O51" s="77">
        <v>2109.48</v>
      </c>
      <c r="P51" s="8">
        <f t="shared" si="69"/>
        <v>-0.65309934201793807</v>
      </c>
      <c r="Q51" s="77">
        <v>731.78</v>
      </c>
      <c r="R51" s="8">
        <f t="shared" si="60"/>
        <v>1.3860039902702999</v>
      </c>
      <c r="S51" s="77">
        <v>1746.03</v>
      </c>
      <c r="T51" s="8">
        <f t="shared" si="61"/>
        <v>1.2548295275568004</v>
      </c>
      <c r="U51" s="608">
        <v>3937</v>
      </c>
      <c r="V51" s="8">
        <f t="shared" si="62"/>
        <v>-0.49199898399796799</v>
      </c>
      <c r="W51" s="77">
        <v>2000</v>
      </c>
      <c r="X51" s="8">
        <f t="shared" si="63"/>
        <v>0</v>
      </c>
      <c r="Y51" s="77">
        <v>2000</v>
      </c>
      <c r="Z51" s="8">
        <f t="shared" si="64"/>
        <v>0</v>
      </c>
      <c r="AA51" s="77">
        <v>2000</v>
      </c>
      <c r="AB51" s="8">
        <f t="shared" si="65"/>
        <v>0</v>
      </c>
      <c r="AC51" s="77">
        <v>2000</v>
      </c>
      <c r="AD51" s="723" t="s">
        <v>513</v>
      </c>
      <c r="AE51" s="724"/>
      <c r="AF51" s="724"/>
      <c r="AG51" s="724"/>
      <c r="AH51" s="725"/>
      <c r="AI51" s="557"/>
    </row>
    <row r="52" spans="1:38" ht="33" customHeight="1" x14ac:dyDescent="0.25">
      <c r="A52" s="2">
        <v>5018</v>
      </c>
      <c r="B52" s="3" t="s">
        <v>303</v>
      </c>
      <c r="C52" s="75">
        <v>1177.03</v>
      </c>
      <c r="D52" s="77">
        <v>1150.1199999999999</v>
      </c>
      <c r="E52" s="77">
        <v>1106.5</v>
      </c>
      <c r="F52" s="77">
        <v>1330.5</v>
      </c>
      <c r="G52" s="338">
        <v>1169.3800000000001</v>
      </c>
      <c r="H52" s="77">
        <v>1374.16</v>
      </c>
      <c r="I52" s="77">
        <v>1036.93</v>
      </c>
      <c r="J52" s="8">
        <f t="shared" si="66"/>
        <v>0.87360766879152874</v>
      </c>
      <c r="K52" s="77">
        <v>1942.8</v>
      </c>
      <c r="L52" s="8">
        <f t="shared" si="67"/>
        <v>-0.35586267243154207</v>
      </c>
      <c r="M52" s="77">
        <v>1251.43</v>
      </c>
      <c r="N52" s="8">
        <f t="shared" si="68"/>
        <v>9.9566096385735013E-3</v>
      </c>
      <c r="O52" s="77">
        <v>1263.8900000000001</v>
      </c>
      <c r="P52" s="8">
        <f t="shared" si="69"/>
        <v>7.2870265608557624E-2</v>
      </c>
      <c r="Q52" s="77">
        <v>1355.99</v>
      </c>
      <c r="R52" s="8">
        <f t="shared" si="60"/>
        <v>-2.3820234662497645E-3</v>
      </c>
      <c r="S52" s="77">
        <v>1352.76</v>
      </c>
      <c r="T52" s="8">
        <f t="shared" si="61"/>
        <v>3.00000000000001E-2</v>
      </c>
      <c r="U52" s="521">
        <f>S52*1.03</f>
        <v>1393.3428000000001</v>
      </c>
      <c r="V52" s="8">
        <f t="shared" si="62"/>
        <v>3.0000000000000103E-2</v>
      </c>
      <c r="W52" s="75">
        <f>U52*1.03</f>
        <v>1435.1430840000003</v>
      </c>
      <c r="X52" s="8">
        <f t="shared" si="63"/>
        <v>2.9999999999999988E-2</v>
      </c>
      <c r="Y52" s="75">
        <f>W52*1.03</f>
        <v>1478.1973765200003</v>
      </c>
      <c r="Z52" s="8">
        <f t="shared" si="64"/>
        <v>2.9999999999999971E-2</v>
      </c>
      <c r="AA52" s="75">
        <f>Y52*1.03</f>
        <v>1522.5432978156002</v>
      </c>
      <c r="AB52" s="8">
        <f t="shared" si="65"/>
        <v>3.0000000000000093E-2</v>
      </c>
      <c r="AC52" s="75">
        <f>AA52*1.03</f>
        <v>1568.2195967500684</v>
      </c>
      <c r="AD52" s="1002" t="s">
        <v>278</v>
      </c>
      <c r="AE52" s="1003"/>
      <c r="AF52" s="1003"/>
      <c r="AG52" s="1003"/>
      <c r="AH52" s="1004"/>
      <c r="AI52" s="129"/>
    </row>
    <row r="53" spans="1:38" ht="126.75" customHeight="1" x14ac:dyDescent="0.25">
      <c r="A53" s="2">
        <v>5020</v>
      </c>
      <c r="B53" s="3" t="s">
        <v>54</v>
      </c>
      <c r="C53" s="75">
        <v>1377.68</v>
      </c>
      <c r="D53" s="77">
        <v>1206.28</v>
      </c>
      <c r="E53" s="77">
        <v>810.1</v>
      </c>
      <c r="F53" s="77">
        <v>795.51</v>
      </c>
      <c r="G53" s="338">
        <v>633.07000000000005</v>
      </c>
      <c r="H53" s="77">
        <v>731.57</v>
      </c>
      <c r="I53" s="77">
        <v>616.87</v>
      </c>
      <c r="J53" s="8">
        <f t="shared" ref="J53" si="71">(K53-I53)/I53</f>
        <v>0.25498079011785296</v>
      </c>
      <c r="K53" s="77">
        <v>774.16</v>
      </c>
      <c r="L53" s="8">
        <f t="shared" si="67"/>
        <v>-0.15437377286349074</v>
      </c>
      <c r="M53" s="77">
        <v>654.65</v>
      </c>
      <c r="N53" s="8">
        <f t="shared" si="68"/>
        <v>0.33851676468341868</v>
      </c>
      <c r="O53" s="77">
        <v>876.26</v>
      </c>
      <c r="P53" s="8">
        <f t="shared" si="69"/>
        <v>-0.55095519594640863</v>
      </c>
      <c r="Q53" s="77">
        <v>393.48</v>
      </c>
      <c r="R53" s="8">
        <f t="shared" si="60"/>
        <v>0.19828199654366163</v>
      </c>
      <c r="S53" s="77">
        <v>471.5</v>
      </c>
      <c r="T53" s="8">
        <f t="shared" si="61"/>
        <v>6.0445387062566275E-2</v>
      </c>
      <c r="U53" s="521">
        <v>500</v>
      </c>
      <c r="V53" s="8">
        <f t="shared" si="62"/>
        <v>0</v>
      </c>
      <c r="W53" s="77">
        <v>500</v>
      </c>
      <c r="X53" s="8">
        <f t="shared" si="63"/>
        <v>0</v>
      </c>
      <c r="Y53" s="77">
        <v>500</v>
      </c>
      <c r="Z53" s="8">
        <f t="shared" si="64"/>
        <v>-0.6</v>
      </c>
      <c r="AA53" s="77">
        <v>200</v>
      </c>
      <c r="AB53" s="8">
        <f t="shared" si="65"/>
        <v>0</v>
      </c>
      <c r="AC53" s="77">
        <v>200</v>
      </c>
      <c r="AD53" s="830" t="s">
        <v>466</v>
      </c>
      <c r="AE53" s="831"/>
      <c r="AF53" s="831"/>
      <c r="AG53" s="831"/>
      <c r="AH53" s="832"/>
      <c r="AI53" s="413"/>
    </row>
    <row r="54" spans="1:38" ht="385.5" customHeight="1" x14ac:dyDescent="0.25">
      <c r="A54" s="69">
        <v>5021</v>
      </c>
      <c r="B54" s="120" t="s">
        <v>55</v>
      </c>
      <c r="C54" s="75">
        <v>3051.7</v>
      </c>
      <c r="D54" s="77">
        <v>3922.6</v>
      </c>
      <c r="E54" s="77">
        <v>4476.3900000000003</v>
      </c>
      <c r="F54" s="77">
        <v>4009.87</v>
      </c>
      <c r="G54" s="338">
        <v>5280.03</v>
      </c>
      <c r="H54" s="77">
        <v>4356.4399999999996</v>
      </c>
      <c r="I54" s="77">
        <v>4048.39</v>
      </c>
      <c r="J54" s="8">
        <f t="shared" si="66"/>
        <v>0.96165883227653481</v>
      </c>
      <c r="K54" s="77">
        <v>7941.56</v>
      </c>
      <c r="L54" s="8">
        <f t="shared" si="67"/>
        <v>-0.21448808546431691</v>
      </c>
      <c r="M54" s="77">
        <v>6238.19</v>
      </c>
      <c r="N54" s="8">
        <f t="shared" si="68"/>
        <v>-8.5571295520014537E-2</v>
      </c>
      <c r="O54" s="77">
        <v>5704.38</v>
      </c>
      <c r="P54" s="8">
        <f t="shared" si="69"/>
        <v>0.14806867705166912</v>
      </c>
      <c r="Q54" s="77">
        <v>6549.02</v>
      </c>
      <c r="R54" s="8">
        <f t="shared" si="60"/>
        <v>0.38794659353613209</v>
      </c>
      <c r="S54" s="77">
        <v>9089.69</v>
      </c>
      <c r="T54" s="8">
        <f t="shared" si="61"/>
        <v>7.9244726717852806E-2</v>
      </c>
      <c r="U54" s="521">
        <v>9810</v>
      </c>
      <c r="V54" s="8">
        <f t="shared" si="62"/>
        <v>3.000000000000011E-2</v>
      </c>
      <c r="W54" s="75">
        <f>U54*1.03</f>
        <v>10104.300000000001</v>
      </c>
      <c r="X54" s="8">
        <f t="shared" si="63"/>
        <v>3.0000000000000079E-2</v>
      </c>
      <c r="Y54" s="75">
        <f>W54*1.03</f>
        <v>10407.429000000002</v>
      </c>
      <c r="Z54" s="8">
        <f t="shared" si="64"/>
        <v>2.9999999999999957E-2</v>
      </c>
      <c r="AA54" s="75">
        <f>Y54*1.03</f>
        <v>10719.651870000002</v>
      </c>
      <c r="AB54" s="8">
        <f t="shared" si="65"/>
        <v>2.9999999999999971E-2</v>
      </c>
      <c r="AC54" s="75">
        <f>AA54*1.03</f>
        <v>11041.241426100001</v>
      </c>
      <c r="AD54" s="676" t="s">
        <v>401</v>
      </c>
      <c r="AE54" s="706"/>
      <c r="AF54" s="706"/>
      <c r="AG54" s="706"/>
      <c r="AH54" s="707"/>
      <c r="AI54" s="839"/>
      <c r="AJ54" s="815"/>
      <c r="AK54" s="815"/>
      <c r="AL54" s="815"/>
    </row>
    <row r="55" spans="1:38" ht="111.75" customHeight="1" x14ac:dyDescent="0.25">
      <c r="A55" s="2">
        <v>5022</v>
      </c>
      <c r="B55" s="3" t="s">
        <v>306</v>
      </c>
      <c r="C55" s="75">
        <v>5195.58</v>
      </c>
      <c r="D55" s="77">
        <v>3675.82</v>
      </c>
      <c r="E55" s="77">
        <v>4598.6099999999997</v>
      </c>
      <c r="F55" s="77">
        <v>4981.12</v>
      </c>
      <c r="G55" s="338">
        <v>4495.7299999999996</v>
      </c>
      <c r="H55" s="77">
        <v>4147.13</v>
      </c>
      <c r="I55" s="77">
        <v>4545.8599999999997</v>
      </c>
      <c r="J55" s="8">
        <f t="shared" si="66"/>
        <v>0.40838037247077574</v>
      </c>
      <c r="K55" s="77">
        <v>6402.3</v>
      </c>
      <c r="L55" s="8">
        <f t="shared" si="67"/>
        <v>-3.0301610358777313E-2</v>
      </c>
      <c r="M55" s="77">
        <v>6208.3</v>
      </c>
      <c r="N55" s="8">
        <f t="shared" si="68"/>
        <v>-0.32284522333005822</v>
      </c>
      <c r="O55" s="77">
        <v>4203.9799999999996</v>
      </c>
      <c r="P55" s="8">
        <f t="shared" si="69"/>
        <v>0.21992017088568475</v>
      </c>
      <c r="Q55" s="77">
        <v>5128.5200000000004</v>
      </c>
      <c r="R55" s="8">
        <f t="shared" si="60"/>
        <v>9.0770826671242283E-2</v>
      </c>
      <c r="S55" s="77">
        <v>5594.04</v>
      </c>
      <c r="T55" s="8">
        <f t="shared" si="61"/>
        <v>1.2684928960107549E-2</v>
      </c>
      <c r="U55" s="521">
        <v>5665</v>
      </c>
      <c r="V55" s="8">
        <f t="shared" si="62"/>
        <v>3.0008826125330981E-2</v>
      </c>
      <c r="W55" s="75">
        <v>5835</v>
      </c>
      <c r="X55" s="8">
        <f t="shared" si="63"/>
        <v>2.8277634961439587E-2</v>
      </c>
      <c r="Y55" s="75">
        <v>6000</v>
      </c>
      <c r="Z55" s="8">
        <f t="shared" si="64"/>
        <v>0.03</v>
      </c>
      <c r="AA55" s="75">
        <v>6180</v>
      </c>
      <c r="AB55" s="8">
        <f t="shared" si="65"/>
        <v>0</v>
      </c>
      <c r="AC55" s="75">
        <v>6180</v>
      </c>
      <c r="AD55" s="723" t="s">
        <v>363</v>
      </c>
      <c r="AE55" s="735"/>
      <c r="AF55" s="735"/>
      <c r="AG55" s="735"/>
      <c r="AH55" s="736"/>
      <c r="AI55" s="822"/>
      <c r="AJ55" s="660"/>
      <c r="AK55" s="660"/>
      <c r="AL55" s="660"/>
    </row>
    <row r="56" spans="1:38" ht="49.15" customHeight="1" x14ac:dyDescent="0.25">
      <c r="A56" s="2">
        <v>5023</v>
      </c>
      <c r="B56" s="3" t="s">
        <v>423</v>
      </c>
      <c r="C56" s="75">
        <v>465.98</v>
      </c>
      <c r="D56" s="77">
        <v>0</v>
      </c>
      <c r="E56" s="77">
        <v>0</v>
      </c>
      <c r="F56" s="77">
        <v>16.670000000000002</v>
      </c>
      <c r="G56" s="338">
        <v>17.62</v>
      </c>
      <c r="H56" s="77">
        <v>0</v>
      </c>
      <c r="I56" s="77">
        <v>83.29</v>
      </c>
      <c r="J56" s="8">
        <f t="shared" si="66"/>
        <v>-1</v>
      </c>
      <c r="K56" s="118">
        <v>0</v>
      </c>
      <c r="L56" s="68" t="e">
        <f t="shared" si="67"/>
        <v>#DIV/0!</v>
      </c>
      <c r="M56" s="118">
        <v>0</v>
      </c>
      <c r="N56" s="68" t="e">
        <f t="shared" si="68"/>
        <v>#DIV/0!</v>
      </c>
      <c r="O56" s="118">
        <v>0</v>
      </c>
      <c r="P56" s="68" t="e">
        <f t="shared" si="69"/>
        <v>#DIV/0!</v>
      </c>
      <c r="Q56" s="118">
        <v>0</v>
      </c>
      <c r="R56" s="68" t="e">
        <f t="shared" si="60"/>
        <v>#DIV/0!</v>
      </c>
      <c r="S56" s="118">
        <v>0</v>
      </c>
      <c r="T56" s="8" t="e">
        <f t="shared" ref="T56" si="72">(U56-S56)/S56</f>
        <v>#DIV/0!</v>
      </c>
      <c r="U56" s="521">
        <v>311</v>
      </c>
      <c r="V56" s="8">
        <f t="shared" ref="V56" si="73">(W56-U56)/U56</f>
        <v>-0.40514469453376206</v>
      </c>
      <c r="W56" s="77">
        <v>185</v>
      </c>
      <c r="X56" s="8">
        <f t="shared" ref="X56" si="74">(Y56-W56)/W56</f>
        <v>-1</v>
      </c>
      <c r="Y56" s="77">
        <v>0</v>
      </c>
      <c r="Z56" s="8" t="e">
        <f t="shared" si="64"/>
        <v>#DIV/0!</v>
      </c>
      <c r="AA56" s="77">
        <v>0</v>
      </c>
      <c r="AB56" s="8" t="e">
        <f t="shared" si="65"/>
        <v>#DIV/0!</v>
      </c>
      <c r="AC56" s="77">
        <v>0</v>
      </c>
      <c r="AD56" s="1033" t="s">
        <v>451</v>
      </c>
      <c r="AE56" s="1034"/>
      <c r="AF56" s="1034"/>
      <c r="AG56" s="1034"/>
      <c r="AH56" s="1035"/>
      <c r="AI56" s="354"/>
    </row>
    <row r="57" spans="1:38" ht="27.6" customHeight="1" x14ac:dyDescent="0.25">
      <c r="A57" s="2">
        <v>5025</v>
      </c>
      <c r="B57" s="3" t="s">
        <v>56</v>
      </c>
      <c r="C57" s="75"/>
      <c r="D57" s="77">
        <v>0</v>
      </c>
      <c r="E57" s="77">
        <v>0</v>
      </c>
      <c r="F57" s="77">
        <v>0</v>
      </c>
      <c r="G57" s="338">
        <v>0</v>
      </c>
      <c r="H57" s="77">
        <v>0</v>
      </c>
      <c r="I57" s="77">
        <v>0</v>
      </c>
      <c r="J57" s="8" t="e">
        <f t="shared" si="66"/>
        <v>#DIV/0!</v>
      </c>
      <c r="K57" s="77">
        <v>0</v>
      </c>
      <c r="L57" s="8" t="e">
        <f t="shared" si="67"/>
        <v>#DIV/0!</v>
      </c>
      <c r="M57" s="77">
        <v>0</v>
      </c>
      <c r="N57" s="8" t="e">
        <f t="shared" si="68"/>
        <v>#DIV/0!</v>
      </c>
      <c r="O57" s="77">
        <v>0</v>
      </c>
      <c r="P57" s="8" t="e">
        <f t="shared" si="69"/>
        <v>#DIV/0!</v>
      </c>
      <c r="Q57" s="77">
        <v>0</v>
      </c>
      <c r="R57" s="8" t="e">
        <f t="shared" si="60"/>
        <v>#DIV/0!</v>
      </c>
      <c r="S57" s="77">
        <v>0</v>
      </c>
      <c r="T57" s="8" t="e">
        <f t="shared" si="61"/>
        <v>#DIV/0!</v>
      </c>
      <c r="U57" s="521">
        <v>0</v>
      </c>
      <c r="V57" s="8" t="e">
        <f t="shared" si="62"/>
        <v>#DIV/0!</v>
      </c>
      <c r="W57" s="77">
        <v>0</v>
      </c>
      <c r="X57" s="8" t="e">
        <f t="shared" si="63"/>
        <v>#DIV/0!</v>
      </c>
      <c r="Y57" s="77">
        <v>0</v>
      </c>
      <c r="Z57" s="8" t="e">
        <f t="shared" si="64"/>
        <v>#DIV/0!</v>
      </c>
      <c r="AA57" s="77">
        <v>0</v>
      </c>
      <c r="AB57" s="8" t="e">
        <f t="shared" si="65"/>
        <v>#DIV/0!</v>
      </c>
      <c r="AC57" s="77">
        <v>0</v>
      </c>
      <c r="AD57" s="1036"/>
      <c r="AE57" s="1037"/>
      <c r="AF57" s="1037"/>
      <c r="AG57" s="1037"/>
      <c r="AH57" s="1038"/>
    </row>
    <row r="58" spans="1:38" ht="108" customHeight="1" x14ac:dyDescent="0.2">
      <c r="A58" s="69">
        <v>5030</v>
      </c>
      <c r="B58" s="120" t="s">
        <v>57</v>
      </c>
      <c r="C58" s="75">
        <v>1121.3499999999999</v>
      </c>
      <c r="D58" s="77">
        <v>1471.4</v>
      </c>
      <c r="E58" s="77">
        <v>1317.75</v>
      </c>
      <c r="F58" s="77">
        <v>1347.04</v>
      </c>
      <c r="G58" s="338">
        <v>1445.95</v>
      </c>
      <c r="H58" s="77">
        <v>1476.79</v>
      </c>
      <c r="I58" s="77">
        <v>1632.02</v>
      </c>
      <c r="J58" s="8">
        <f>(K58-I58)/I58</f>
        <v>-1</v>
      </c>
      <c r="K58" s="360">
        <v>0</v>
      </c>
      <c r="L58" s="361" t="e">
        <f>(M58-K58)/K58</f>
        <v>#DIV/0!</v>
      </c>
      <c r="M58" s="360">
        <f>K58*1.1</f>
        <v>0</v>
      </c>
      <c r="N58" s="361" t="e">
        <f>(O58-M58)/M58</f>
        <v>#DIV/0!</v>
      </c>
      <c r="O58" s="360">
        <f>M58</f>
        <v>0</v>
      </c>
      <c r="P58" s="361" t="e">
        <f>(Q58-O58)/O58</f>
        <v>#DIV/0!</v>
      </c>
      <c r="Q58" s="360">
        <f>O58</f>
        <v>0</v>
      </c>
      <c r="R58" s="361" t="e">
        <f t="shared" si="60"/>
        <v>#DIV/0!</v>
      </c>
      <c r="S58" s="360">
        <f>Q58</f>
        <v>0</v>
      </c>
      <c r="T58" s="361" t="e">
        <f t="shared" si="61"/>
        <v>#DIV/0!</v>
      </c>
      <c r="U58" s="360">
        <f>S58</f>
        <v>0</v>
      </c>
      <c r="V58" s="361" t="e">
        <f t="shared" si="62"/>
        <v>#DIV/0!</v>
      </c>
      <c r="W58" s="360">
        <f>U58</f>
        <v>0</v>
      </c>
      <c r="X58" s="361" t="e">
        <f t="shared" si="63"/>
        <v>#DIV/0!</v>
      </c>
      <c r="Y58" s="360">
        <f>W58</f>
        <v>0</v>
      </c>
      <c r="Z58" s="361" t="e">
        <f t="shared" si="64"/>
        <v>#DIV/0!</v>
      </c>
      <c r="AA58" s="360">
        <f>Y58</f>
        <v>0</v>
      </c>
      <c r="AB58" s="361" t="e">
        <f t="shared" si="65"/>
        <v>#DIV/0!</v>
      </c>
      <c r="AC58" s="360">
        <f>AA58</f>
        <v>0</v>
      </c>
      <c r="AD58" s="714" t="s">
        <v>295</v>
      </c>
      <c r="AE58" s="715"/>
      <c r="AF58" s="715"/>
      <c r="AG58" s="715"/>
      <c r="AH58" s="716"/>
      <c r="AI58" s="791"/>
      <c r="AJ58" s="792"/>
      <c r="AK58" s="792"/>
      <c r="AL58" s="792"/>
    </row>
    <row r="59" spans="1:38" ht="102.75" customHeight="1" x14ac:dyDescent="0.2">
      <c r="A59" s="69">
        <v>5031</v>
      </c>
      <c r="B59" s="120" t="s">
        <v>58</v>
      </c>
      <c r="C59" s="76">
        <v>681.67</v>
      </c>
      <c r="D59" s="77">
        <v>860.56</v>
      </c>
      <c r="E59" s="77">
        <v>333.57</v>
      </c>
      <c r="F59" s="77">
        <v>1056.74</v>
      </c>
      <c r="G59" s="338">
        <v>1236.77</v>
      </c>
      <c r="H59" s="77">
        <v>1218.45</v>
      </c>
      <c r="I59" s="77">
        <v>503.91</v>
      </c>
      <c r="J59" s="8">
        <f>(K59-I59)/I59</f>
        <v>-1</v>
      </c>
      <c r="K59" s="360">
        <v>0</v>
      </c>
      <c r="L59" s="361" t="e">
        <f>(M59-K59)/K59</f>
        <v>#DIV/0!</v>
      </c>
      <c r="M59" s="360">
        <f>K59*1.1</f>
        <v>0</v>
      </c>
      <c r="N59" s="361" t="e">
        <f>(O59-M59)/M59</f>
        <v>#DIV/0!</v>
      </c>
      <c r="O59" s="360">
        <f>M59</f>
        <v>0</v>
      </c>
      <c r="P59" s="361" t="e">
        <f>(Q59-O59)/O59</f>
        <v>#DIV/0!</v>
      </c>
      <c r="Q59" s="360">
        <f>O59</f>
        <v>0</v>
      </c>
      <c r="R59" s="361" t="e">
        <f t="shared" si="60"/>
        <v>#DIV/0!</v>
      </c>
      <c r="S59" s="360">
        <f>Q59</f>
        <v>0</v>
      </c>
      <c r="T59" s="361" t="e">
        <f t="shared" si="61"/>
        <v>#DIV/0!</v>
      </c>
      <c r="U59" s="360">
        <f>S59</f>
        <v>0</v>
      </c>
      <c r="V59" s="361" t="e">
        <f t="shared" si="62"/>
        <v>#DIV/0!</v>
      </c>
      <c r="W59" s="360">
        <f>U59</f>
        <v>0</v>
      </c>
      <c r="X59" s="361" t="e">
        <f t="shared" si="63"/>
        <v>#DIV/0!</v>
      </c>
      <c r="Y59" s="360">
        <f>W59</f>
        <v>0</v>
      </c>
      <c r="Z59" s="361" t="e">
        <f t="shared" si="64"/>
        <v>#DIV/0!</v>
      </c>
      <c r="AA59" s="360">
        <f>Y59</f>
        <v>0</v>
      </c>
      <c r="AB59" s="361" t="e">
        <f t="shared" si="65"/>
        <v>#DIV/0!</v>
      </c>
      <c r="AC59" s="360">
        <f>AA59</f>
        <v>0</v>
      </c>
      <c r="AD59" s="717" t="s">
        <v>296</v>
      </c>
      <c r="AE59" s="718"/>
      <c r="AF59" s="718"/>
      <c r="AG59" s="718"/>
      <c r="AH59" s="719"/>
      <c r="AI59" s="791"/>
      <c r="AJ59" s="792"/>
      <c r="AK59" s="792"/>
      <c r="AL59" s="792"/>
    </row>
    <row r="60" spans="1:38" ht="230.25" customHeight="1" x14ac:dyDescent="0.25">
      <c r="A60" s="2">
        <v>5032</v>
      </c>
      <c r="B60" s="3" t="s">
        <v>343</v>
      </c>
      <c r="C60" s="75">
        <v>3069.08</v>
      </c>
      <c r="D60" s="77">
        <v>3065.92</v>
      </c>
      <c r="E60" s="77">
        <v>3037.58</v>
      </c>
      <c r="F60" s="77">
        <v>2768.96</v>
      </c>
      <c r="G60" s="338">
        <v>2580.48</v>
      </c>
      <c r="H60" s="77">
        <v>3311.13</v>
      </c>
      <c r="I60" s="77">
        <v>3919.19</v>
      </c>
      <c r="J60" s="8">
        <f t="shared" ref="J60:J72" si="75">(K60-I60)/I60</f>
        <v>1.5888487161888037E-2</v>
      </c>
      <c r="K60" s="77">
        <v>3981.46</v>
      </c>
      <c r="L60" s="8">
        <f t="shared" ref="L60" si="76">(M60-K60)/K60</f>
        <v>-2.6111024599016451E-2</v>
      </c>
      <c r="M60" s="77">
        <v>3877.5</v>
      </c>
      <c r="N60" s="8">
        <f t="shared" ref="N60" si="77">(O60-M60)/M60</f>
        <v>-0.30014442295293359</v>
      </c>
      <c r="O60" s="77">
        <v>2713.69</v>
      </c>
      <c r="P60" s="8">
        <f t="shared" ref="P60" si="78">(Q60-O60)/O60</f>
        <v>0.27833687709355165</v>
      </c>
      <c r="Q60" s="77">
        <v>3469.01</v>
      </c>
      <c r="R60" s="8">
        <f t="shared" si="60"/>
        <v>0.40329950043384138</v>
      </c>
      <c r="S60" s="576">
        <v>4868.0600000000004</v>
      </c>
      <c r="T60" s="8">
        <f t="shared" si="61"/>
        <v>2.7103199221044851E-2</v>
      </c>
      <c r="U60" s="521">
        <v>5000</v>
      </c>
      <c r="V60" s="8">
        <f t="shared" si="62"/>
        <v>0.03</v>
      </c>
      <c r="W60" s="77">
        <f>U60*1.03</f>
        <v>5150</v>
      </c>
      <c r="X60" s="8">
        <f t="shared" si="63"/>
        <v>0.03</v>
      </c>
      <c r="Y60" s="77">
        <f>W60*1.03</f>
        <v>5304.5</v>
      </c>
      <c r="Z60" s="8">
        <f t="shared" si="64"/>
        <v>3.0000000000000041E-2</v>
      </c>
      <c r="AA60" s="77">
        <f>Y60*1.03</f>
        <v>5463.6350000000002</v>
      </c>
      <c r="AB60" s="8">
        <f t="shared" si="65"/>
        <v>3.0000000000000037E-2</v>
      </c>
      <c r="AC60" s="77">
        <f>AA60*1.03</f>
        <v>5627.5440500000004</v>
      </c>
      <c r="AD60" s="720" t="s">
        <v>385</v>
      </c>
      <c r="AE60" s="721"/>
      <c r="AF60" s="721"/>
      <c r="AG60" s="721"/>
      <c r="AH60" s="722"/>
      <c r="AI60" s="353"/>
    </row>
    <row r="61" spans="1:38" ht="108" customHeight="1" x14ac:dyDescent="0.25">
      <c r="A61" s="2">
        <v>5035</v>
      </c>
      <c r="B61" s="3" t="s">
        <v>373</v>
      </c>
      <c r="C61" s="75">
        <v>3284.16</v>
      </c>
      <c r="D61" s="77">
        <v>366</v>
      </c>
      <c r="E61" s="77">
        <v>446.04</v>
      </c>
      <c r="F61" s="77">
        <v>398.8</v>
      </c>
      <c r="G61" s="338">
        <v>479.76</v>
      </c>
      <c r="H61" s="77">
        <v>512</v>
      </c>
      <c r="I61" s="77">
        <v>418.33</v>
      </c>
      <c r="J61" s="8">
        <f t="shared" si="75"/>
        <v>-1.3577797432648883E-2</v>
      </c>
      <c r="K61" s="77">
        <v>412.65</v>
      </c>
      <c r="L61" s="8">
        <f t="shared" ref="L61:L72" si="79">(M61-K61)/K61</f>
        <v>0.21606688476917491</v>
      </c>
      <c r="M61" s="77">
        <v>501.81</v>
      </c>
      <c r="N61" s="8">
        <f t="shared" ref="N61:N72" si="80">(O61-M61)/M61</f>
        <v>0.83942129491241702</v>
      </c>
      <c r="O61" s="77">
        <v>923.04</v>
      </c>
      <c r="P61" s="8">
        <f t="shared" ref="P61:P72" si="81">(Q61-O61)/O61</f>
        <v>-0.4108272664239902</v>
      </c>
      <c r="Q61" s="77">
        <v>543.83000000000004</v>
      </c>
      <c r="R61" s="8">
        <f>(S61-Q61)/Q61</f>
        <v>-0.48513322177886475</v>
      </c>
      <c r="S61" s="576">
        <v>280</v>
      </c>
      <c r="T61" s="8">
        <f t="shared" ref="T61:X72" si="82">(U61-S61)/S61</f>
        <v>0</v>
      </c>
      <c r="U61" s="521">
        <v>280</v>
      </c>
      <c r="V61" s="8">
        <f t="shared" ref="V61:V72" si="83">(W61-U61)/U61</f>
        <v>0.3125</v>
      </c>
      <c r="W61" s="75">
        <v>367.5</v>
      </c>
      <c r="X61" s="8">
        <f t="shared" si="63"/>
        <v>0.05</v>
      </c>
      <c r="Y61" s="75">
        <f>W61*1.05</f>
        <v>385.875</v>
      </c>
      <c r="Z61" s="8">
        <f t="shared" si="64"/>
        <v>5.0000000000000121E-2</v>
      </c>
      <c r="AA61" s="75">
        <f>Y61*1.05</f>
        <v>405.16875000000005</v>
      </c>
      <c r="AB61" s="8">
        <f t="shared" si="65"/>
        <v>5.0000000000000031E-2</v>
      </c>
      <c r="AC61" s="75">
        <f>AA61*1.05</f>
        <v>425.42718750000006</v>
      </c>
      <c r="AD61" s="723" t="s">
        <v>336</v>
      </c>
      <c r="AE61" s="724"/>
      <c r="AF61" s="724"/>
      <c r="AG61" s="724"/>
      <c r="AH61" s="725"/>
      <c r="AI61" s="532"/>
    </row>
    <row r="62" spans="1:38" ht="220.5" customHeight="1" x14ac:dyDescent="0.25">
      <c r="A62" s="2">
        <v>5036</v>
      </c>
      <c r="B62" s="3" t="s">
        <v>60</v>
      </c>
      <c r="C62" s="75">
        <v>10054.200000000001</v>
      </c>
      <c r="D62" s="77">
        <v>5063.55</v>
      </c>
      <c r="E62" s="77">
        <v>5968.49</v>
      </c>
      <c r="F62" s="77">
        <v>5984.26</v>
      </c>
      <c r="G62" s="338">
        <v>6000.48</v>
      </c>
      <c r="H62" s="77">
        <v>6099.48</v>
      </c>
      <c r="I62" s="77">
        <v>6132.56</v>
      </c>
      <c r="J62" s="8">
        <f t="shared" si="75"/>
        <v>4.8053341508277059E-2</v>
      </c>
      <c r="K62" s="77">
        <v>6427.25</v>
      </c>
      <c r="L62" s="8">
        <f t="shared" si="79"/>
        <v>8.7766929868917272E-3</v>
      </c>
      <c r="M62" s="77">
        <v>6483.66</v>
      </c>
      <c r="N62" s="8">
        <f t="shared" si="80"/>
        <v>6.3441019424214096E-2</v>
      </c>
      <c r="O62" s="77">
        <v>6894.99</v>
      </c>
      <c r="P62" s="8">
        <f t="shared" si="81"/>
        <v>0.1695782009836127</v>
      </c>
      <c r="Q62" s="77">
        <v>8064.23</v>
      </c>
      <c r="R62" s="8">
        <f t="shared" ref="R62:R72" si="84">(S62-Q62)/Q62</f>
        <v>3.8989463346159534E-2</v>
      </c>
      <c r="S62" s="576">
        <v>8378.65</v>
      </c>
      <c r="T62" s="8">
        <f t="shared" si="82"/>
        <v>-0.97016225764293773</v>
      </c>
      <c r="U62" s="521">
        <v>250</v>
      </c>
      <c r="V62" s="8">
        <f t="shared" si="83"/>
        <v>0</v>
      </c>
      <c r="W62" s="77">
        <v>250</v>
      </c>
      <c r="X62" s="8">
        <f t="shared" si="63"/>
        <v>0</v>
      </c>
      <c r="Y62" s="77">
        <v>250</v>
      </c>
      <c r="Z62" s="8">
        <f t="shared" si="64"/>
        <v>0</v>
      </c>
      <c r="AA62" s="77">
        <v>250</v>
      </c>
      <c r="AB62" s="8">
        <f t="shared" si="65"/>
        <v>0</v>
      </c>
      <c r="AC62" s="77">
        <v>250</v>
      </c>
      <c r="AD62" s="726" t="s">
        <v>386</v>
      </c>
      <c r="AE62" s="727"/>
      <c r="AF62" s="727"/>
      <c r="AG62" s="727"/>
      <c r="AH62" s="728"/>
      <c r="AI62" s="541"/>
    </row>
    <row r="63" spans="1:38" ht="75.75" customHeight="1" x14ac:dyDescent="0.25">
      <c r="A63" s="69">
        <v>5037</v>
      </c>
      <c r="B63" s="120" t="s">
        <v>61</v>
      </c>
      <c r="C63" s="75">
        <v>292.8</v>
      </c>
      <c r="D63" s="77">
        <v>231.99</v>
      </c>
      <c r="E63" s="77">
        <v>65.540000000000006</v>
      </c>
      <c r="F63" s="77">
        <v>1730.99</v>
      </c>
      <c r="G63" s="338">
        <v>1490.35</v>
      </c>
      <c r="H63" s="77">
        <v>1780.64</v>
      </c>
      <c r="I63" s="77">
        <v>2143.4</v>
      </c>
      <c r="J63" s="8">
        <f t="shared" si="75"/>
        <v>-6.1547074741065626E-2</v>
      </c>
      <c r="K63" s="77">
        <v>2011.48</v>
      </c>
      <c r="L63" s="8">
        <f t="shared" si="79"/>
        <v>5.7758466402847569E-2</v>
      </c>
      <c r="M63" s="77">
        <v>2127.66</v>
      </c>
      <c r="N63" s="8">
        <f t="shared" si="80"/>
        <v>-9.1494881701023587E-2</v>
      </c>
      <c r="O63" s="77">
        <v>1932.99</v>
      </c>
      <c r="P63" s="8">
        <f t="shared" si="81"/>
        <v>9.0931665450933633E-2</v>
      </c>
      <c r="Q63" s="77">
        <v>2108.7600000000002</v>
      </c>
      <c r="R63" s="8">
        <f t="shared" si="84"/>
        <v>-6.3046529714144928E-2</v>
      </c>
      <c r="S63" s="576">
        <v>1975.81</v>
      </c>
      <c r="T63" s="8">
        <f t="shared" si="82"/>
        <v>0.25113244694580961</v>
      </c>
      <c r="U63" s="521">
        <v>2472</v>
      </c>
      <c r="V63" s="8">
        <f t="shared" si="83"/>
        <v>2.999999999999994E-2</v>
      </c>
      <c r="W63" s="77">
        <f>U63*1.03</f>
        <v>2546.16</v>
      </c>
      <c r="X63" s="8">
        <f t="shared" si="63"/>
        <v>3.0000000000000106E-2</v>
      </c>
      <c r="Y63" s="77">
        <f>W63*1.03</f>
        <v>2622.5448000000001</v>
      </c>
      <c r="Z63" s="8">
        <f t="shared" si="64"/>
        <v>2.9999999999999988E-2</v>
      </c>
      <c r="AA63" s="77">
        <f>Y63*1.03</f>
        <v>2701.2211440000001</v>
      </c>
      <c r="AB63" s="8">
        <f t="shared" si="65"/>
        <v>2.9999999999999943E-2</v>
      </c>
      <c r="AC63" s="77">
        <f>AA63*1.03</f>
        <v>2782.2577783199999</v>
      </c>
      <c r="AD63" s="720" t="s">
        <v>467</v>
      </c>
      <c r="AE63" s="721"/>
      <c r="AF63" s="721"/>
      <c r="AG63" s="721"/>
      <c r="AH63" s="722"/>
      <c r="AI63" s="823"/>
      <c r="AJ63" s="660"/>
    </row>
    <row r="64" spans="1:38" s="13" customFormat="1" ht="114" customHeight="1" x14ac:dyDescent="0.25">
      <c r="A64" s="2">
        <v>5038</v>
      </c>
      <c r="B64" s="3" t="s">
        <v>62</v>
      </c>
      <c r="C64" s="75">
        <v>1589.57</v>
      </c>
      <c r="D64" s="77">
        <v>1673.7</v>
      </c>
      <c r="E64" s="77">
        <v>1443.75</v>
      </c>
      <c r="F64" s="77">
        <v>1530</v>
      </c>
      <c r="G64" s="338">
        <v>1782.5</v>
      </c>
      <c r="H64" s="77">
        <v>1510</v>
      </c>
      <c r="I64" s="77">
        <v>4895.5</v>
      </c>
      <c r="J64" s="8">
        <f t="shared" si="75"/>
        <v>-0.53518537432335822</v>
      </c>
      <c r="K64" s="77">
        <v>2275.5</v>
      </c>
      <c r="L64" s="8">
        <f t="shared" si="79"/>
        <v>0.16128323445396617</v>
      </c>
      <c r="M64" s="77">
        <v>2642.5</v>
      </c>
      <c r="N64" s="8">
        <f t="shared" si="80"/>
        <v>0.28949858088930935</v>
      </c>
      <c r="O64" s="77">
        <v>3407.5</v>
      </c>
      <c r="P64" s="163">
        <f t="shared" si="81"/>
        <v>-3.2281731474688186E-2</v>
      </c>
      <c r="Q64" s="77">
        <v>3297.5</v>
      </c>
      <c r="R64" s="8">
        <f t="shared" si="84"/>
        <v>0.16032145564821831</v>
      </c>
      <c r="S64" s="576">
        <v>3826.16</v>
      </c>
      <c r="T64" s="8">
        <f t="shared" si="82"/>
        <v>4.5434587157881574E-2</v>
      </c>
      <c r="U64" s="521">
        <v>4000</v>
      </c>
      <c r="V64" s="8">
        <f t="shared" si="83"/>
        <v>7.4999999999999997E-2</v>
      </c>
      <c r="W64" s="77">
        <v>4300</v>
      </c>
      <c r="X64" s="8">
        <f t="shared" si="63"/>
        <v>0.02</v>
      </c>
      <c r="Y64" s="75">
        <f>W64*1.02</f>
        <v>4386</v>
      </c>
      <c r="Z64" s="8">
        <f t="shared" si="64"/>
        <v>2.0000000000000059E-2</v>
      </c>
      <c r="AA64" s="75">
        <f>Y64*1.02</f>
        <v>4473.72</v>
      </c>
      <c r="AB64" s="8">
        <f t="shared" si="65"/>
        <v>2.0000000000000011E-2</v>
      </c>
      <c r="AC64" s="75">
        <f>AA64*1.02</f>
        <v>4563.1944000000003</v>
      </c>
      <c r="AD64" s="950" t="s">
        <v>364</v>
      </c>
      <c r="AE64" s="951"/>
      <c r="AF64" s="951"/>
      <c r="AG64" s="951"/>
      <c r="AH64" s="952"/>
      <c r="AI64" s="751" t="s">
        <v>468</v>
      </c>
      <c r="AJ64" s="660"/>
      <c r="AK64" s="660"/>
      <c r="AL64" s="660"/>
    </row>
    <row r="65" spans="1:43" s="13" customFormat="1" ht="157.5" customHeight="1" x14ac:dyDescent="0.25">
      <c r="A65" s="4">
        <v>5039</v>
      </c>
      <c r="B65" s="47" t="s">
        <v>240</v>
      </c>
      <c r="C65" s="75">
        <v>10410.77</v>
      </c>
      <c r="D65" s="77">
        <v>11194.94</v>
      </c>
      <c r="E65" s="77">
        <v>7350.3</v>
      </c>
      <c r="F65" s="77">
        <v>3135.53</v>
      </c>
      <c r="G65" s="338">
        <v>11735.85</v>
      </c>
      <c r="H65" s="77">
        <v>10232.129999999999</v>
      </c>
      <c r="I65" s="77">
        <v>9204.9</v>
      </c>
      <c r="J65" s="8">
        <f t="shared" si="75"/>
        <v>-0.70603482927571182</v>
      </c>
      <c r="K65" s="77">
        <v>2705.92</v>
      </c>
      <c r="L65" s="8">
        <f t="shared" si="79"/>
        <v>3.111097149952696</v>
      </c>
      <c r="M65" s="77">
        <v>11124.3</v>
      </c>
      <c r="N65" s="8">
        <f t="shared" si="80"/>
        <v>-0.53907391925784098</v>
      </c>
      <c r="O65" s="77">
        <v>5127.4799999999996</v>
      </c>
      <c r="P65" s="8">
        <f t="shared" si="81"/>
        <v>0.26949885713839944</v>
      </c>
      <c r="Q65" s="77">
        <v>6509.33</v>
      </c>
      <c r="R65" s="8">
        <f t="shared" si="84"/>
        <v>-0.90742826066584426</v>
      </c>
      <c r="S65" s="576">
        <v>602.58000000000004</v>
      </c>
      <c r="T65" s="8">
        <f t="shared" si="82"/>
        <v>50.520130107205674</v>
      </c>
      <c r="U65" s="521">
        <v>31045</v>
      </c>
      <c r="V65" s="8">
        <f t="shared" si="83"/>
        <v>-0.74230955065227899</v>
      </c>
      <c r="W65" s="77">
        <v>8000</v>
      </c>
      <c r="X65" s="8">
        <f t="shared" si="63"/>
        <v>0</v>
      </c>
      <c r="Y65" s="75">
        <v>8000</v>
      </c>
      <c r="Z65" s="8">
        <f t="shared" si="64"/>
        <v>0</v>
      </c>
      <c r="AA65" s="75">
        <v>8000</v>
      </c>
      <c r="AB65" s="8">
        <f t="shared" si="65"/>
        <v>0</v>
      </c>
      <c r="AC65" s="75">
        <v>8000</v>
      </c>
      <c r="AD65" s="746" t="s">
        <v>488</v>
      </c>
      <c r="AE65" s="747"/>
      <c r="AF65" s="747"/>
      <c r="AG65" s="747"/>
      <c r="AH65" s="748"/>
      <c r="AI65" s="791"/>
      <c r="AJ65" s="792"/>
      <c r="AK65" s="792"/>
      <c r="AL65" s="792"/>
    </row>
    <row r="66" spans="1:43" ht="312" customHeight="1" x14ac:dyDescent="0.25">
      <c r="A66" s="4">
        <v>5040</v>
      </c>
      <c r="B66" s="5" t="s">
        <v>63</v>
      </c>
      <c r="C66" s="75">
        <v>655</v>
      </c>
      <c r="D66" s="107">
        <v>13890.22</v>
      </c>
      <c r="E66" s="77">
        <v>13929.21</v>
      </c>
      <c r="F66" s="77">
        <v>12014.47</v>
      </c>
      <c r="G66" s="338">
        <v>14452.01</v>
      </c>
      <c r="H66" s="77">
        <v>17608.96</v>
      </c>
      <c r="I66" s="77">
        <v>10673.94</v>
      </c>
      <c r="J66" s="8">
        <f t="shared" si="75"/>
        <v>0.40449824525901401</v>
      </c>
      <c r="K66" s="77">
        <v>14991.53</v>
      </c>
      <c r="L66" s="8">
        <f t="shared" si="79"/>
        <v>-0.1363103032178837</v>
      </c>
      <c r="M66" s="77">
        <v>12948.03</v>
      </c>
      <c r="N66" s="8">
        <f t="shared" si="80"/>
        <v>-2.2925495229776278E-2</v>
      </c>
      <c r="O66" s="77">
        <v>12651.19</v>
      </c>
      <c r="P66" s="8">
        <f t="shared" si="81"/>
        <v>0.64406984639389642</v>
      </c>
      <c r="Q66" s="77">
        <v>20799.439999999999</v>
      </c>
      <c r="R66" s="8">
        <f t="shared" si="84"/>
        <v>-0.22754458773890066</v>
      </c>
      <c r="S66" s="77">
        <v>16066.64</v>
      </c>
      <c r="T66" s="8">
        <f t="shared" si="82"/>
        <v>0.86722301613778618</v>
      </c>
      <c r="U66" s="629">
        <v>30000</v>
      </c>
      <c r="V66" s="8">
        <f t="shared" si="83"/>
        <v>0.19013066666666661</v>
      </c>
      <c r="W66" s="77">
        <v>35703.919999999998</v>
      </c>
      <c r="X66" s="8">
        <f t="shared" si="63"/>
        <v>2.999999999999994E-2</v>
      </c>
      <c r="Y66" s="77">
        <f>W66*1.03</f>
        <v>36775.037599999996</v>
      </c>
      <c r="Z66" s="8">
        <f t="shared" si="64"/>
        <v>3.00000000000001E-2</v>
      </c>
      <c r="AA66" s="75">
        <f>Y66*1.03</f>
        <v>37878.288728</v>
      </c>
      <c r="AB66" s="8">
        <f t="shared" si="65"/>
        <v>2.9999999999999957E-2</v>
      </c>
      <c r="AC66" s="75">
        <f>AA66*1.03</f>
        <v>39014.637389839998</v>
      </c>
      <c r="AD66" s="676" t="s">
        <v>508</v>
      </c>
      <c r="AE66" s="706"/>
      <c r="AF66" s="706"/>
      <c r="AG66" s="706"/>
      <c r="AH66" s="707"/>
      <c r="AI66" s="823"/>
      <c r="AJ66" s="660"/>
      <c r="AK66" s="823"/>
      <c r="AL66" s="660"/>
      <c r="AM66" s="13"/>
    </row>
    <row r="67" spans="1:43" ht="154.5" customHeight="1" x14ac:dyDescent="0.25">
      <c r="A67" s="69">
        <v>5041</v>
      </c>
      <c r="B67" s="120" t="s">
        <v>64</v>
      </c>
      <c r="C67" s="75">
        <v>725.08</v>
      </c>
      <c r="D67" s="107">
        <v>3.78</v>
      </c>
      <c r="E67" s="77">
        <v>448.22</v>
      </c>
      <c r="F67" s="77">
        <v>2087.4699999999998</v>
      </c>
      <c r="G67" s="338">
        <v>1139.67</v>
      </c>
      <c r="H67" s="77">
        <v>638.16999999999996</v>
      </c>
      <c r="I67" s="77">
        <v>1647.59</v>
      </c>
      <c r="J67" s="8">
        <f t="shared" si="75"/>
        <v>0.17660340254553622</v>
      </c>
      <c r="K67" s="77">
        <v>1938.56</v>
      </c>
      <c r="L67" s="8">
        <f t="shared" si="79"/>
        <v>1.1248813552327501</v>
      </c>
      <c r="M67" s="77">
        <v>4119.21</v>
      </c>
      <c r="N67" s="8">
        <f t="shared" si="80"/>
        <v>-0.47198613326341704</v>
      </c>
      <c r="O67" s="77">
        <v>2175</v>
      </c>
      <c r="P67" s="8">
        <f t="shared" si="81"/>
        <v>0.69303448275862067</v>
      </c>
      <c r="Q67" s="77">
        <v>3682.35</v>
      </c>
      <c r="R67" s="8">
        <f t="shared" si="84"/>
        <v>-3.105897049438535E-2</v>
      </c>
      <c r="S67" s="77">
        <v>3567.98</v>
      </c>
      <c r="T67" s="8">
        <f t="shared" si="82"/>
        <v>-0.15918811204098679</v>
      </c>
      <c r="U67" s="521">
        <v>3000</v>
      </c>
      <c r="V67" s="8">
        <f t="shared" si="83"/>
        <v>0</v>
      </c>
      <c r="W67" s="77">
        <v>3000</v>
      </c>
      <c r="X67" s="8">
        <f t="shared" si="63"/>
        <v>0.03</v>
      </c>
      <c r="Y67" s="77">
        <f>W67*1.03</f>
        <v>3090</v>
      </c>
      <c r="Z67" s="8">
        <f t="shared" si="64"/>
        <v>3.0000000000000089E-2</v>
      </c>
      <c r="AA67" s="77">
        <f>Y67*1.03</f>
        <v>3182.7000000000003</v>
      </c>
      <c r="AB67" s="8">
        <f t="shared" si="65"/>
        <v>3.0000000000000068E-2</v>
      </c>
      <c r="AC67" s="77">
        <f>AA67*1.03</f>
        <v>3278.1810000000005</v>
      </c>
      <c r="AD67" s="711" t="s">
        <v>361</v>
      </c>
      <c r="AE67" s="767"/>
      <c r="AF67" s="767"/>
      <c r="AG67" s="767"/>
      <c r="AH67" s="768"/>
      <c r="AI67" s="412"/>
      <c r="AM67" s="13"/>
    </row>
    <row r="68" spans="1:43" ht="47.45" customHeight="1" x14ac:dyDescent="0.25">
      <c r="A68" s="69">
        <v>5042</v>
      </c>
      <c r="B68" s="120" t="s">
        <v>65</v>
      </c>
      <c r="C68" s="75">
        <v>168.77</v>
      </c>
      <c r="D68" s="77">
        <v>233.5</v>
      </c>
      <c r="E68" s="77">
        <v>1307.43</v>
      </c>
      <c r="F68" s="77">
        <v>214.82</v>
      </c>
      <c r="G68" s="338">
        <v>657.58</v>
      </c>
      <c r="H68" s="77">
        <v>1350</v>
      </c>
      <c r="I68" s="77">
        <v>377.56</v>
      </c>
      <c r="J68" s="8">
        <f t="shared" si="75"/>
        <v>-1</v>
      </c>
      <c r="K68" s="77">
        <v>0</v>
      </c>
      <c r="L68" s="8" t="e">
        <f t="shared" si="79"/>
        <v>#DIV/0!</v>
      </c>
      <c r="M68" s="77">
        <v>57.15</v>
      </c>
      <c r="N68" s="8">
        <f t="shared" si="80"/>
        <v>2.2720909886264216</v>
      </c>
      <c r="O68" s="77">
        <v>187</v>
      </c>
      <c r="P68" s="8">
        <f t="shared" si="81"/>
        <v>-1</v>
      </c>
      <c r="Q68" s="77">
        <v>0</v>
      </c>
      <c r="R68" s="8" t="e">
        <f t="shared" si="84"/>
        <v>#DIV/0!</v>
      </c>
      <c r="S68" s="77">
        <v>19.149999999999999</v>
      </c>
      <c r="T68" s="8">
        <f t="shared" si="82"/>
        <v>25.109660574412537</v>
      </c>
      <c r="U68" s="521">
        <v>500</v>
      </c>
      <c r="V68" s="8">
        <f t="shared" si="83"/>
        <v>0</v>
      </c>
      <c r="W68" s="75">
        <v>500</v>
      </c>
      <c r="X68" s="8">
        <f t="shared" si="63"/>
        <v>0</v>
      </c>
      <c r="Y68" s="75">
        <v>500</v>
      </c>
      <c r="Z68" s="8">
        <f t="shared" si="64"/>
        <v>0</v>
      </c>
      <c r="AA68" s="75">
        <v>500</v>
      </c>
      <c r="AB68" s="8">
        <f t="shared" si="65"/>
        <v>0</v>
      </c>
      <c r="AC68" s="75">
        <v>500</v>
      </c>
      <c r="AD68" s="711" t="s">
        <v>387</v>
      </c>
      <c r="AE68" s="767"/>
      <c r="AF68" s="767"/>
      <c r="AG68" s="767"/>
      <c r="AH68" s="768"/>
      <c r="AI68" s="751"/>
      <c r="AJ68" s="787"/>
      <c r="AM68" s="13"/>
    </row>
    <row r="69" spans="1:43" ht="215.25" customHeight="1" x14ac:dyDescent="0.25">
      <c r="A69" s="2">
        <v>5043</v>
      </c>
      <c r="B69" s="3" t="s">
        <v>68</v>
      </c>
      <c r="C69" s="75">
        <v>3614.04</v>
      </c>
      <c r="D69" s="77">
        <v>2776.39</v>
      </c>
      <c r="E69" s="77">
        <v>3090.92</v>
      </c>
      <c r="F69" s="77">
        <v>2944.28</v>
      </c>
      <c r="G69" s="338">
        <v>2758.64</v>
      </c>
      <c r="H69" s="77">
        <v>2830.57</v>
      </c>
      <c r="I69" s="77">
        <v>3760.04</v>
      </c>
      <c r="J69" s="8">
        <f t="shared" si="75"/>
        <v>-3.7233646450569674E-2</v>
      </c>
      <c r="K69" s="77">
        <v>3620.04</v>
      </c>
      <c r="L69" s="8">
        <f t="shared" si="79"/>
        <v>-2.8093612225279481E-3</v>
      </c>
      <c r="M69" s="77">
        <v>3609.87</v>
      </c>
      <c r="N69" s="8">
        <f t="shared" si="80"/>
        <v>6.9739353494724182E-2</v>
      </c>
      <c r="O69" s="77">
        <v>3861.62</v>
      </c>
      <c r="P69" s="8">
        <f t="shared" si="81"/>
        <v>0.15754527892438927</v>
      </c>
      <c r="Q69" s="77">
        <v>4470</v>
      </c>
      <c r="R69" s="8">
        <f t="shared" si="84"/>
        <v>4.4742729306487695E-3</v>
      </c>
      <c r="S69" s="77">
        <v>4490</v>
      </c>
      <c r="T69" s="8">
        <f t="shared" si="82"/>
        <v>3.3184855233853006E-2</v>
      </c>
      <c r="U69" s="521">
        <v>4639</v>
      </c>
      <c r="V69" s="8">
        <f t="shared" si="83"/>
        <v>3.0000000000000016E-2</v>
      </c>
      <c r="W69" s="77">
        <f>U69*1.03</f>
        <v>4778.17</v>
      </c>
      <c r="X69" s="8">
        <f t="shared" si="63"/>
        <v>3.0000000000000096E-2</v>
      </c>
      <c r="Y69" s="77">
        <f>W69*1.03</f>
        <v>4921.5151000000005</v>
      </c>
      <c r="Z69" s="8">
        <f t="shared" si="64"/>
        <v>3.0000000000000016E-2</v>
      </c>
      <c r="AA69" s="77">
        <f>Y69*1.03</f>
        <v>5069.1605530000006</v>
      </c>
      <c r="AB69" s="8">
        <f t="shared" si="65"/>
        <v>3.0000000000000079E-2</v>
      </c>
      <c r="AC69" s="77">
        <f>AA69*1.03</f>
        <v>5221.235369590001</v>
      </c>
      <c r="AD69" s="711" t="s">
        <v>365</v>
      </c>
      <c r="AE69" s="767"/>
      <c r="AF69" s="767"/>
      <c r="AG69" s="767"/>
      <c r="AH69" s="768"/>
      <c r="AI69" s="793"/>
      <c r="AJ69" s="780"/>
      <c r="AK69" s="780"/>
      <c r="AL69" s="780"/>
      <c r="AM69" s="13"/>
    </row>
    <row r="70" spans="1:43" ht="46.5" customHeight="1" x14ac:dyDescent="0.25">
      <c r="A70" s="69">
        <v>5045</v>
      </c>
      <c r="B70" s="120" t="s">
        <v>328</v>
      </c>
      <c r="C70" s="75"/>
      <c r="D70" s="77"/>
      <c r="E70" s="77"/>
      <c r="F70" s="77"/>
      <c r="G70" s="338"/>
      <c r="H70" s="77"/>
      <c r="I70" s="360"/>
      <c r="J70" s="361"/>
      <c r="K70" s="360"/>
      <c r="L70" s="361"/>
      <c r="M70" s="360"/>
      <c r="N70" s="361"/>
      <c r="O70" s="77">
        <v>241.75</v>
      </c>
      <c r="P70" s="533">
        <f t="shared" si="81"/>
        <v>0.60000000000000009</v>
      </c>
      <c r="Q70" s="77">
        <v>386.8</v>
      </c>
      <c r="R70" s="8"/>
      <c r="S70" s="77">
        <v>118.88</v>
      </c>
      <c r="T70" s="8">
        <f t="shared" si="82"/>
        <v>3.2059219380888293</v>
      </c>
      <c r="U70" s="521">
        <v>500</v>
      </c>
      <c r="V70" s="8">
        <f t="shared" si="82"/>
        <v>0</v>
      </c>
      <c r="W70" s="77">
        <v>500</v>
      </c>
      <c r="X70" s="8">
        <f t="shared" si="82"/>
        <v>0</v>
      </c>
      <c r="Y70" s="77">
        <v>500</v>
      </c>
      <c r="Z70" s="8">
        <f t="shared" si="64"/>
        <v>0</v>
      </c>
      <c r="AA70" s="77">
        <v>500</v>
      </c>
      <c r="AB70" s="8">
        <f t="shared" si="65"/>
        <v>0</v>
      </c>
      <c r="AC70" s="77">
        <v>500</v>
      </c>
      <c r="AD70" s="1027" t="s">
        <v>388</v>
      </c>
      <c r="AE70" s="825"/>
      <c r="AF70" s="825"/>
      <c r="AG70" s="825"/>
      <c r="AH70" s="826"/>
      <c r="AI70" s="514"/>
      <c r="AJ70" s="511"/>
      <c r="AK70" s="511"/>
      <c r="AL70" s="511"/>
      <c r="AM70" s="13"/>
    </row>
    <row r="71" spans="1:43" ht="48.75" customHeight="1" x14ac:dyDescent="0.25">
      <c r="A71" s="2">
        <v>5046</v>
      </c>
      <c r="B71" s="3" t="s">
        <v>69</v>
      </c>
      <c r="C71" s="75">
        <v>268</v>
      </c>
      <c r="D71" s="77">
        <v>962.93</v>
      </c>
      <c r="E71" s="77">
        <v>0</v>
      </c>
      <c r="F71" s="77">
        <v>69</v>
      </c>
      <c r="G71" s="338">
        <v>1744.87</v>
      </c>
      <c r="H71" s="77">
        <v>0</v>
      </c>
      <c r="I71" s="77">
        <v>250</v>
      </c>
      <c r="J71" s="8">
        <f t="shared" si="75"/>
        <v>-1</v>
      </c>
      <c r="K71" s="77">
        <v>0</v>
      </c>
      <c r="L71" s="8" t="e">
        <f t="shared" si="79"/>
        <v>#DIV/0!</v>
      </c>
      <c r="M71" s="77">
        <v>2083.91</v>
      </c>
      <c r="N71" s="8">
        <f t="shared" si="80"/>
        <v>-0.90996732104553468</v>
      </c>
      <c r="O71" s="77">
        <v>187.62</v>
      </c>
      <c r="P71" s="8">
        <f t="shared" si="81"/>
        <v>-1</v>
      </c>
      <c r="Q71" s="77">
        <v>0</v>
      </c>
      <c r="R71" s="8" t="e">
        <f t="shared" si="84"/>
        <v>#DIV/0!</v>
      </c>
      <c r="S71" s="77">
        <v>40.26</v>
      </c>
      <c r="T71" s="8">
        <f t="shared" si="82"/>
        <v>11.419274714356682</v>
      </c>
      <c r="U71" s="521">
        <v>500</v>
      </c>
      <c r="V71" s="8">
        <f t="shared" si="83"/>
        <v>0</v>
      </c>
      <c r="W71" s="75">
        <v>500</v>
      </c>
      <c r="X71" s="8">
        <f t="shared" ref="X71:X107" si="85">(Y71-W71)/W71</f>
        <v>0</v>
      </c>
      <c r="Y71" s="75">
        <v>500</v>
      </c>
      <c r="Z71" s="8">
        <f t="shared" si="64"/>
        <v>0</v>
      </c>
      <c r="AA71" s="75">
        <v>500</v>
      </c>
      <c r="AB71" s="8">
        <f t="shared" si="65"/>
        <v>0</v>
      </c>
      <c r="AC71" s="75">
        <v>500</v>
      </c>
      <c r="AD71" s="711" t="s">
        <v>366</v>
      </c>
      <c r="AE71" s="767"/>
      <c r="AF71" s="767"/>
      <c r="AG71" s="767"/>
      <c r="AH71" s="768"/>
      <c r="AI71" s="534"/>
      <c r="AM71" s="13"/>
    </row>
    <row r="72" spans="1:43" ht="111" customHeight="1" thickBot="1" x14ac:dyDescent="0.3">
      <c r="A72" s="2">
        <v>5048</v>
      </c>
      <c r="B72" s="3" t="s">
        <v>70</v>
      </c>
      <c r="C72" s="75">
        <v>748.69</v>
      </c>
      <c r="D72" s="77">
        <v>828.3</v>
      </c>
      <c r="E72" s="77">
        <v>598.28</v>
      </c>
      <c r="F72" s="77">
        <v>725.39</v>
      </c>
      <c r="G72" s="338">
        <v>812.06</v>
      </c>
      <c r="H72" s="77">
        <v>936.48</v>
      </c>
      <c r="I72" s="77">
        <v>849.95</v>
      </c>
      <c r="J72" s="8">
        <f t="shared" si="75"/>
        <v>-0.1212777222189541</v>
      </c>
      <c r="K72" s="77">
        <v>746.87</v>
      </c>
      <c r="L72" s="8">
        <f t="shared" si="79"/>
        <v>0.10578815590397257</v>
      </c>
      <c r="M72" s="77">
        <v>825.88</v>
      </c>
      <c r="N72" s="8">
        <f t="shared" si="80"/>
        <v>0.53668813871264576</v>
      </c>
      <c r="O72" s="77">
        <v>1269.1199999999999</v>
      </c>
      <c r="P72" s="8">
        <f t="shared" si="81"/>
        <v>-6.6699760463943422E-2</v>
      </c>
      <c r="Q72" s="77">
        <v>1184.47</v>
      </c>
      <c r="R72" s="8">
        <f t="shared" si="84"/>
        <v>-0.23433265511156892</v>
      </c>
      <c r="S72" s="77">
        <v>906.91</v>
      </c>
      <c r="T72" s="8">
        <f t="shared" si="82"/>
        <v>0.4775446295663297</v>
      </c>
      <c r="U72" s="521">
        <v>1340</v>
      </c>
      <c r="V72" s="8">
        <f t="shared" si="83"/>
        <v>2.9850746268656716E-2</v>
      </c>
      <c r="W72" s="77">
        <v>1380</v>
      </c>
      <c r="X72" s="8">
        <f t="shared" si="85"/>
        <v>3.0000000000000065E-2</v>
      </c>
      <c r="Y72" s="75">
        <f>W72*1.03</f>
        <v>1421.4</v>
      </c>
      <c r="Z72" s="8">
        <f t="shared" si="64"/>
        <v>3.0000000000000034E-2</v>
      </c>
      <c r="AA72" s="75">
        <f>Y72*1.03</f>
        <v>1464.0420000000001</v>
      </c>
      <c r="AB72" s="8">
        <f t="shared" si="65"/>
        <v>3.0000000000000047E-2</v>
      </c>
      <c r="AC72" s="75">
        <f>AA72*1.03</f>
        <v>1507.9632600000002</v>
      </c>
      <c r="AD72" s="1008" t="s">
        <v>362</v>
      </c>
      <c r="AE72" s="1009"/>
      <c r="AF72" s="1009"/>
      <c r="AG72" s="1009"/>
      <c r="AH72" s="1010"/>
      <c r="AM72" s="13"/>
    </row>
    <row r="73" spans="1:43" s="7" customFormat="1" ht="210.75" customHeight="1" thickBot="1" x14ac:dyDescent="0.3">
      <c r="A73" s="336">
        <v>5060</v>
      </c>
      <c r="B73" s="337" t="s">
        <v>71</v>
      </c>
      <c r="C73" s="82">
        <v>275099.94</v>
      </c>
      <c r="D73" s="109">
        <v>292396.77</v>
      </c>
      <c r="E73" s="155">
        <v>298177.82</v>
      </c>
      <c r="F73" s="109">
        <v>295657.17</v>
      </c>
      <c r="G73" s="343">
        <v>305692.69</v>
      </c>
      <c r="H73" s="109">
        <v>324571.51</v>
      </c>
      <c r="I73" s="109">
        <v>346506.98</v>
      </c>
      <c r="J73" s="30">
        <f>(K73-I73)/I73</f>
        <v>-3.2304976944475886E-2</v>
      </c>
      <c r="K73" s="109">
        <v>335313.08</v>
      </c>
      <c r="L73" s="30">
        <f>(M73-K73)/K73</f>
        <v>4.2801432022872489E-2</v>
      </c>
      <c r="M73" s="109">
        <v>349664.96</v>
      </c>
      <c r="N73" s="30">
        <v>2.5000000000000001E-2</v>
      </c>
      <c r="O73" s="109">
        <v>391047.11</v>
      </c>
      <c r="P73" s="30">
        <f>(Q73-O73)/O73</f>
        <v>0.10858223706090046</v>
      </c>
      <c r="Q73" s="109">
        <v>433507.88</v>
      </c>
      <c r="R73" s="30">
        <f t="shared" ref="R73:R97" si="86">(S73-Q73)/Q73</f>
        <v>7.8440258110186997E-2</v>
      </c>
      <c r="S73" s="109">
        <v>467512.35</v>
      </c>
      <c r="T73" s="30">
        <f t="shared" ref="T73:T97" si="87">(U73-S73)/S73</f>
        <v>4.8100654453299523E-2</v>
      </c>
      <c r="U73" s="636">
        <v>490000</v>
      </c>
      <c r="V73" s="30">
        <f t="shared" ref="V73:V97" si="88">(W73-U73)/U73</f>
        <v>4.0816326530612242E-2</v>
      </c>
      <c r="W73" s="638">
        <v>510000</v>
      </c>
      <c r="X73" s="30">
        <f t="shared" si="85"/>
        <v>3.9215686274509803E-2</v>
      </c>
      <c r="Y73" s="109">
        <v>530000</v>
      </c>
      <c r="Z73" s="30">
        <f t="shared" si="64"/>
        <v>1.8867924528301886E-2</v>
      </c>
      <c r="AA73" s="109">
        <v>540000</v>
      </c>
      <c r="AB73" s="30">
        <f t="shared" si="65"/>
        <v>1.8518518518518517E-2</v>
      </c>
      <c r="AC73" s="109">
        <v>550000</v>
      </c>
      <c r="AD73" s="1005" t="s">
        <v>498</v>
      </c>
      <c r="AE73" s="1006"/>
      <c r="AF73" s="1006"/>
      <c r="AG73" s="1006"/>
      <c r="AH73" s="1007"/>
      <c r="AI73" s="817"/>
      <c r="AJ73" s="815"/>
      <c r="AK73" s="815"/>
      <c r="AL73" s="815"/>
    </row>
    <row r="74" spans="1:43" s="7" customFormat="1" ht="165" customHeight="1" thickBot="1" x14ac:dyDescent="0.3">
      <c r="A74" s="336">
        <v>5061</v>
      </c>
      <c r="B74" s="337" t="s">
        <v>72</v>
      </c>
      <c r="C74" s="82">
        <v>17651.09</v>
      </c>
      <c r="D74" s="109">
        <v>19486.560000000001</v>
      </c>
      <c r="E74" s="109">
        <v>20000.43</v>
      </c>
      <c r="F74" s="109">
        <v>24843.919999999998</v>
      </c>
      <c r="G74" s="344">
        <v>25487.52</v>
      </c>
      <c r="H74" s="109">
        <v>26598.97</v>
      </c>
      <c r="I74" s="109">
        <v>27356.46</v>
      </c>
      <c r="J74" s="30">
        <f>(K74-I74)/I74</f>
        <v>-1.8483751187105268E-2</v>
      </c>
      <c r="K74" s="109">
        <v>26850.81</v>
      </c>
      <c r="L74" s="30">
        <f>(M74-K74)/K74</f>
        <v>3.8993609503772821E-2</v>
      </c>
      <c r="M74" s="109">
        <v>27897.82</v>
      </c>
      <c r="N74" s="30">
        <v>2.5000000000000001E-2</v>
      </c>
      <c r="O74" s="109">
        <v>34429.660000000003</v>
      </c>
      <c r="P74" s="30">
        <f>(Q74-O74)/O74</f>
        <v>0.10999353464425711</v>
      </c>
      <c r="Q74" s="109">
        <v>38216.699999999997</v>
      </c>
      <c r="R74" s="30">
        <f t="shared" si="86"/>
        <v>5.0380069446079874E-2</v>
      </c>
      <c r="S74" s="109">
        <v>40142.06</v>
      </c>
      <c r="T74" s="30">
        <f t="shared" si="87"/>
        <v>0.45159466155947164</v>
      </c>
      <c r="U74" s="611">
        <v>58270</v>
      </c>
      <c r="V74" s="30">
        <f t="shared" si="88"/>
        <v>5.2720096104341856E-2</v>
      </c>
      <c r="W74" s="109">
        <v>61342</v>
      </c>
      <c r="X74" s="30">
        <f t="shared" si="85"/>
        <v>5.1644876267483944E-2</v>
      </c>
      <c r="Y74" s="109">
        <v>64510</v>
      </c>
      <c r="Z74" s="30">
        <f t="shared" si="64"/>
        <v>4.9759727174081538E-2</v>
      </c>
      <c r="AA74" s="109">
        <v>67720</v>
      </c>
      <c r="AB74" s="30">
        <f t="shared" si="65"/>
        <v>3.3668044890726521E-2</v>
      </c>
      <c r="AC74" s="109">
        <v>70000</v>
      </c>
      <c r="AD74" s="1030" t="s">
        <v>370</v>
      </c>
      <c r="AE74" s="1031"/>
      <c r="AF74" s="1031"/>
      <c r="AG74" s="1031"/>
      <c r="AH74" s="1032"/>
      <c r="AI74" s="817"/>
      <c r="AJ74" s="815"/>
      <c r="AK74" s="815"/>
      <c r="AL74" s="815"/>
    </row>
    <row r="75" spans="1:43" s="7" customFormat="1" ht="263.25" customHeight="1" thickBot="1" x14ac:dyDescent="0.3">
      <c r="A75" s="336">
        <v>5062</v>
      </c>
      <c r="B75" s="337" t="s">
        <v>73</v>
      </c>
      <c r="C75" s="82">
        <v>35938.980000000003</v>
      </c>
      <c r="D75" s="109">
        <v>39854.79</v>
      </c>
      <c r="E75" s="109">
        <v>43192.67</v>
      </c>
      <c r="F75" s="109">
        <v>49009.61</v>
      </c>
      <c r="G75" s="345">
        <v>53403.4</v>
      </c>
      <c r="H75" s="109">
        <v>57433.03</v>
      </c>
      <c r="I75" s="109">
        <v>62704.29</v>
      </c>
      <c r="J75" s="30">
        <f>(K75-I75)/I75</f>
        <v>-0.1499607124169654</v>
      </c>
      <c r="K75" s="109">
        <v>53301.11</v>
      </c>
      <c r="L75" s="30">
        <f>(M75-K75)/K75</f>
        <v>-2.9349482590512666E-2</v>
      </c>
      <c r="M75" s="109">
        <v>51736.75</v>
      </c>
      <c r="N75" s="30">
        <v>2.5000000000000001E-2</v>
      </c>
      <c r="O75" s="109">
        <v>61810.5</v>
      </c>
      <c r="P75" s="30">
        <f>(Q75-O75)/O75</f>
        <v>1.9822036708973381E-2</v>
      </c>
      <c r="Q75" s="109">
        <v>63035.71</v>
      </c>
      <c r="R75" s="30">
        <f t="shared" si="86"/>
        <v>0.17347643105788765</v>
      </c>
      <c r="S75" s="109">
        <v>73970.92</v>
      </c>
      <c r="T75" s="30">
        <f t="shared" si="87"/>
        <v>0.16261904002275493</v>
      </c>
      <c r="U75" s="636">
        <v>86000</v>
      </c>
      <c r="V75" s="30">
        <f t="shared" si="88"/>
        <v>6.9767441860465115E-2</v>
      </c>
      <c r="W75" s="637">
        <v>92000</v>
      </c>
      <c r="X75" s="30">
        <f t="shared" si="85"/>
        <v>4.3478260869565216E-2</v>
      </c>
      <c r="Y75" s="109">
        <v>96000</v>
      </c>
      <c r="Z75" s="30">
        <f t="shared" si="64"/>
        <v>1.5625E-2</v>
      </c>
      <c r="AA75" s="109">
        <v>97500</v>
      </c>
      <c r="AB75" s="30">
        <f t="shared" si="65"/>
        <v>0.03</v>
      </c>
      <c r="AC75" s="109">
        <f>AA75*1.03</f>
        <v>100425</v>
      </c>
      <c r="AD75" s="1011" t="s">
        <v>497</v>
      </c>
      <c r="AE75" s="1012"/>
      <c r="AF75" s="1012"/>
      <c r="AG75" s="1012"/>
      <c r="AH75" s="1013"/>
      <c r="AI75" s="817" t="s">
        <v>493</v>
      </c>
      <c r="AJ75" s="815"/>
      <c r="AK75" s="815"/>
      <c r="AL75" s="815"/>
    </row>
    <row r="76" spans="1:43" s="7" customFormat="1" ht="51" customHeight="1" thickBot="1" x14ac:dyDescent="0.3">
      <c r="A76" s="1025" t="s">
        <v>74</v>
      </c>
      <c r="B76" s="1026"/>
      <c r="C76" s="83">
        <f t="shared" ref="C76:I76" si="89">C73+C74+C75</f>
        <v>328690.01</v>
      </c>
      <c r="D76" s="83">
        <f t="shared" si="89"/>
        <v>351738.12</v>
      </c>
      <c r="E76" s="83">
        <f t="shared" si="89"/>
        <v>361370.92</v>
      </c>
      <c r="F76" s="83">
        <f t="shared" si="89"/>
        <v>369510.69999999995</v>
      </c>
      <c r="G76" s="326">
        <f t="shared" si="89"/>
        <v>384583.61000000004</v>
      </c>
      <c r="H76" s="83">
        <f t="shared" si="89"/>
        <v>408603.51</v>
      </c>
      <c r="I76" s="83">
        <f t="shared" si="89"/>
        <v>436567.73</v>
      </c>
      <c r="J76" s="48">
        <f>(K76-I76)/I76</f>
        <v>-4.8337814615844334E-2</v>
      </c>
      <c r="K76" s="83">
        <f>K73+K74+K75</f>
        <v>415465</v>
      </c>
      <c r="L76" s="48">
        <f>(M76-K76)/K76</f>
        <v>3.3298906045033945E-2</v>
      </c>
      <c r="M76" s="83">
        <f>M73+M74+M75</f>
        <v>429299.53</v>
      </c>
      <c r="N76" s="48">
        <f>(O76-M76)/M76</f>
        <v>0.13507524687949224</v>
      </c>
      <c r="O76" s="83">
        <f>O73+O74+O75</f>
        <v>487287.27</v>
      </c>
      <c r="P76" s="48">
        <f>(Q76-O76)/O76</f>
        <v>9.7423066274643325E-2</v>
      </c>
      <c r="Q76" s="83">
        <f>Q73+Q74+Q75</f>
        <v>534760.29</v>
      </c>
      <c r="R76" s="48">
        <f t="shared" si="86"/>
        <v>8.7637472109232187E-2</v>
      </c>
      <c r="S76" s="83">
        <f>S73+S74+S75</f>
        <v>581625.32999999996</v>
      </c>
      <c r="T76" s="48">
        <f t="shared" si="87"/>
        <v>9.0513028378595622E-2</v>
      </c>
      <c r="U76" s="83">
        <f>U73+U74+U75</f>
        <v>634270</v>
      </c>
      <c r="V76" s="48">
        <f t="shared" si="88"/>
        <v>4.5835369795197631E-2</v>
      </c>
      <c r="W76" s="83">
        <f>W73+W74+W75</f>
        <v>663342</v>
      </c>
      <c r="X76" s="48">
        <f t="shared" si="85"/>
        <v>4.0956248812829582E-2</v>
      </c>
      <c r="Y76" s="83">
        <f>Y73+Y74+Y75</f>
        <v>690510</v>
      </c>
      <c r="Z76" s="48">
        <f t="shared" si="64"/>
        <v>2.1303094813978074E-2</v>
      </c>
      <c r="AA76" s="83">
        <f>AA73+AA74+AA75</f>
        <v>705220</v>
      </c>
      <c r="AB76" s="48">
        <f t="shared" si="65"/>
        <v>2.1560647741130427E-2</v>
      </c>
      <c r="AC76" s="83">
        <f>AC73+AC74+AC75</f>
        <v>720425</v>
      </c>
      <c r="AD76" s="994"/>
      <c r="AE76" s="995"/>
      <c r="AF76" s="995"/>
      <c r="AG76" s="995"/>
      <c r="AH76" s="995"/>
      <c r="AI76" s="126"/>
    </row>
    <row r="77" spans="1:43" ht="81" customHeight="1" x14ac:dyDescent="0.25">
      <c r="A77" s="14">
        <v>5065</v>
      </c>
      <c r="B77" s="15" t="s">
        <v>209</v>
      </c>
      <c r="C77" s="100">
        <v>0</v>
      </c>
      <c r="D77" s="110">
        <v>0</v>
      </c>
      <c r="E77" s="110">
        <v>1300</v>
      </c>
      <c r="F77" s="112">
        <v>505</v>
      </c>
      <c r="G77" s="346">
        <v>1343.13</v>
      </c>
      <c r="H77" s="112">
        <v>1460</v>
      </c>
      <c r="I77" s="112">
        <v>440.9</v>
      </c>
      <c r="J77" s="8">
        <f t="shared" ref="J77" si="90">(K77-I77)/I77</f>
        <v>0.69918348831934674</v>
      </c>
      <c r="K77" s="112">
        <v>749.17</v>
      </c>
      <c r="L77" s="8">
        <f t="shared" ref="L77:L97" si="91">(M77-K77)/K77</f>
        <v>1.3245992231402755</v>
      </c>
      <c r="M77" s="112">
        <v>1741.52</v>
      </c>
      <c r="N77" s="8">
        <f t="shared" ref="N77:N97" si="92">(O77-M77)/M77</f>
        <v>0.42998644861959662</v>
      </c>
      <c r="O77" s="112">
        <v>2490.35</v>
      </c>
      <c r="P77" s="8">
        <f t="shared" ref="P77:P97" si="93">(Q77-O77)/O77</f>
        <v>-0.51799947798502222</v>
      </c>
      <c r="Q77" s="112">
        <v>1200.3499999999999</v>
      </c>
      <c r="R77" s="8">
        <f t="shared" si="86"/>
        <v>1.786079060274087</v>
      </c>
      <c r="S77" s="112">
        <v>3344.27</v>
      </c>
      <c r="T77" s="8">
        <f t="shared" si="87"/>
        <v>-0.16842838646401156</v>
      </c>
      <c r="U77" s="548">
        <v>2781</v>
      </c>
      <c r="V77" s="8">
        <f t="shared" si="88"/>
        <v>3.0000000000000103E-2</v>
      </c>
      <c r="W77" s="84">
        <f>U77*1.03</f>
        <v>2864.4300000000003</v>
      </c>
      <c r="X77" s="8">
        <f t="shared" si="85"/>
        <v>3.0000000000000082E-2</v>
      </c>
      <c r="Y77" s="84">
        <f>W77*1.03</f>
        <v>2950.3629000000005</v>
      </c>
      <c r="Z77" s="8">
        <f t="shared" ref="Z77:Z107" si="94">(AA77-Y77)/Y77</f>
        <v>2.9999999999999964E-2</v>
      </c>
      <c r="AA77" s="84">
        <f>Y77*1.03</f>
        <v>3038.8737870000004</v>
      </c>
      <c r="AB77" s="8">
        <f t="shared" ref="AB77:AB107" si="95">(AC77-AA77)/AA77</f>
        <v>2.9999999999999957E-2</v>
      </c>
      <c r="AC77" s="84">
        <f>AA77*1.03</f>
        <v>3130.0400006100003</v>
      </c>
      <c r="AD77" s="991" t="s">
        <v>469</v>
      </c>
      <c r="AE77" s="992"/>
      <c r="AF77" s="992"/>
      <c r="AG77" s="992"/>
      <c r="AH77" s="993"/>
      <c r="AI77" s="806"/>
      <c r="AJ77" s="792"/>
      <c r="AK77" s="7"/>
      <c r="AL77" s="7"/>
      <c r="AM77" s="7"/>
      <c r="AN77" s="7"/>
      <c r="AO77" s="7"/>
      <c r="AP77" s="7"/>
      <c r="AQ77" s="7"/>
    </row>
    <row r="78" spans="1:43" ht="200.25" customHeight="1" x14ac:dyDescent="0.25">
      <c r="A78" s="2">
        <v>5066</v>
      </c>
      <c r="B78" s="3" t="s">
        <v>75</v>
      </c>
      <c r="C78" s="75">
        <v>495</v>
      </c>
      <c r="D78" s="77">
        <v>830.63</v>
      </c>
      <c r="E78" s="77">
        <v>590.44000000000005</v>
      </c>
      <c r="F78" s="77">
        <v>95</v>
      </c>
      <c r="G78" s="338">
        <v>675</v>
      </c>
      <c r="H78" s="77">
        <v>1048.7</v>
      </c>
      <c r="I78" s="77">
        <v>12709.41</v>
      </c>
      <c r="J78" s="8">
        <f t="shared" ref="J78:J85" si="96">(K78-I78)/I78</f>
        <v>0.94018369066699403</v>
      </c>
      <c r="K78" s="77">
        <v>24658.59</v>
      </c>
      <c r="L78" s="8">
        <f t="shared" si="91"/>
        <v>-0.9328428754442164</v>
      </c>
      <c r="M78" s="77">
        <v>1656</v>
      </c>
      <c r="N78" s="8">
        <f t="shared" si="92"/>
        <v>8.9353864734299529E-2</v>
      </c>
      <c r="O78" s="77">
        <v>1803.97</v>
      </c>
      <c r="P78" s="8">
        <f t="shared" si="93"/>
        <v>5.1015260785933228E-2</v>
      </c>
      <c r="Q78" s="77">
        <v>1896</v>
      </c>
      <c r="R78" s="8">
        <f t="shared" si="86"/>
        <v>-0.21334388185654007</v>
      </c>
      <c r="S78" s="77">
        <v>1491.5</v>
      </c>
      <c r="T78" s="8">
        <f t="shared" si="87"/>
        <v>0.34093194770365404</v>
      </c>
      <c r="U78" s="521">
        <v>2000</v>
      </c>
      <c r="V78" s="8">
        <f t="shared" si="88"/>
        <v>0</v>
      </c>
      <c r="W78" s="77">
        <v>2000</v>
      </c>
      <c r="X78" s="8">
        <f t="shared" si="85"/>
        <v>0</v>
      </c>
      <c r="Y78" s="77">
        <v>2000</v>
      </c>
      <c r="Z78" s="8">
        <f t="shared" si="94"/>
        <v>0</v>
      </c>
      <c r="AA78" s="77">
        <v>2000</v>
      </c>
      <c r="AB78" s="8">
        <f t="shared" si="95"/>
        <v>0</v>
      </c>
      <c r="AC78" s="77">
        <v>2000</v>
      </c>
      <c r="AD78" s="711" t="s">
        <v>360</v>
      </c>
      <c r="AE78" s="767"/>
      <c r="AF78" s="767"/>
      <c r="AG78" s="767"/>
      <c r="AH78" s="768"/>
      <c r="AI78" s="834"/>
      <c r="AJ78" s="835"/>
      <c r="AK78" s="835"/>
      <c r="AL78" s="835"/>
      <c r="AM78" s="37"/>
    </row>
    <row r="79" spans="1:43" ht="38.25" customHeight="1" x14ac:dyDescent="0.25">
      <c r="A79" s="2">
        <v>5067</v>
      </c>
      <c r="B79" s="3" t="s">
        <v>76</v>
      </c>
      <c r="C79" s="75">
        <v>9549.7199999999993</v>
      </c>
      <c r="D79" s="77">
        <v>6446.7</v>
      </c>
      <c r="E79" s="77">
        <v>6839.48</v>
      </c>
      <c r="F79" s="77">
        <v>4538.43</v>
      </c>
      <c r="G79" s="338">
        <v>0</v>
      </c>
      <c r="H79" s="77">
        <v>0</v>
      </c>
      <c r="I79" s="77">
        <v>0</v>
      </c>
      <c r="J79" s="8" t="e">
        <f t="shared" si="96"/>
        <v>#DIV/0!</v>
      </c>
      <c r="K79" s="77">
        <f>I79*1.02</f>
        <v>0</v>
      </c>
      <c r="L79" s="8" t="e">
        <f t="shared" si="91"/>
        <v>#DIV/0!</v>
      </c>
      <c r="M79" s="77">
        <v>0</v>
      </c>
      <c r="N79" s="8" t="e">
        <f t="shared" si="92"/>
        <v>#DIV/0!</v>
      </c>
      <c r="O79" s="77">
        <f>M79*1.02</f>
        <v>0</v>
      </c>
      <c r="P79" s="8" t="e">
        <f t="shared" si="93"/>
        <v>#DIV/0!</v>
      </c>
      <c r="Q79" s="77">
        <f>O79*1.02</f>
        <v>0</v>
      </c>
      <c r="R79" s="8" t="e">
        <f t="shared" si="86"/>
        <v>#DIV/0!</v>
      </c>
      <c r="S79" s="77">
        <f>Q79*1.02</f>
        <v>0</v>
      </c>
      <c r="T79" s="8" t="e">
        <f t="shared" si="87"/>
        <v>#DIV/0!</v>
      </c>
      <c r="U79" s="521">
        <f>S79*1.02</f>
        <v>0</v>
      </c>
      <c r="V79" s="8" t="e">
        <f t="shared" si="88"/>
        <v>#DIV/0!</v>
      </c>
      <c r="W79" s="77">
        <f>U79*1.02</f>
        <v>0</v>
      </c>
      <c r="X79" s="8" t="e">
        <f t="shared" si="85"/>
        <v>#DIV/0!</v>
      </c>
      <c r="Y79" s="77">
        <f>W79*1.02</f>
        <v>0</v>
      </c>
      <c r="Z79" s="8" t="e">
        <f t="shared" si="94"/>
        <v>#DIV/0!</v>
      </c>
      <c r="AA79" s="77">
        <f>Y79*1.02</f>
        <v>0</v>
      </c>
      <c r="AB79" s="8" t="e">
        <f t="shared" si="95"/>
        <v>#DIV/0!</v>
      </c>
      <c r="AC79" s="77">
        <f>AA79*1.02</f>
        <v>0</v>
      </c>
      <c r="AD79" s="830" t="s">
        <v>230</v>
      </c>
      <c r="AE79" s="831"/>
      <c r="AF79" s="831"/>
      <c r="AG79" s="831"/>
      <c r="AH79" s="832"/>
      <c r="AI79" s="316"/>
      <c r="AJ79" s="37"/>
      <c r="AK79" s="37"/>
      <c r="AL79" s="37"/>
      <c r="AM79" s="37"/>
    </row>
    <row r="80" spans="1:43" ht="81.75" customHeight="1" x14ac:dyDescent="0.25">
      <c r="A80" s="2">
        <v>5068</v>
      </c>
      <c r="B80" s="3" t="s">
        <v>77</v>
      </c>
      <c r="C80" s="75">
        <v>2253.0700000000002</v>
      </c>
      <c r="D80" s="77">
        <v>4243.9399999999996</v>
      </c>
      <c r="E80" s="77">
        <v>2566.42</v>
      </c>
      <c r="F80" s="77">
        <v>2237.7199999999998</v>
      </c>
      <c r="G80" s="338">
        <v>3459.99</v>
      </c>
      <c r="H80" s="77">
        <v>2939.5</v>
      </c>
      <c r="I80" s="77">
        <v>3425</v>
      </c>
      <c r="J80" s="8">
        <f t="shared" si="96"/>
        <v>0.16440291970802917</v>
      </c>
      <c r="K80" s="77">
        <v>3988.08</v>
      </c>
      <c r="L80" s="8">
        <f t="shared" si="91"/>
        <v>-0.25755250646927841</v>
      </c>
      <c r="M80" s="77">
        <v>2960.94</v>
      </c>
      <c r="N80" s="8">
        <f t="shared" si="92"/>
        <v>-2.9362297108350744E-2</v>
      </c>
      <c r="O80" s="77">
        <v>2874</v>
      </c>
      <c r="P80" s="8">
        <f t="shared" si="93"/>
        <v>0.24099860821155189</v>
      </c>
      <c r="Q80" s="77">
        <v>3566.63</v>
      </c>
      <c r="R80" s="8">
        <f t="shared" si="86"/>
        <v>-0.13220603202462836</v>
      </c>
      <c r="S80" s="77">
        <v>3095.1</v>
      </c>
      <c r="T80" s="8">
        <f t="shared" si="87"/>
        <v>0.22774708410067529</v>
      </c>
      <c r="U80" s="521">
        <v>3800</v>
      </c>
      <c r="V80" s="8">
        <f t="shared" si="88"/>
        <v>0</v>
      </c>
      <c r="W80" s="77">
        <v>3800</v>
      </c>
      <c r="X80" s="8">
        <f t="shared" si="85"/>
        <v>0</v>
      </c>
      <c r="Y80" s="77">
        <v>3800</v>
      </c>
      <c r="Z80" s="8">
        <f t="shared" si="94"/>
        <v>0</v>
      </c>
      <c r="AA80" s="77">
        <v>3800</v>
      </c>
      <c r="AB80" s="8">
        <f t="shared" si="95"/>
        <v>0</v>
      </c>
      <c r="AC80" s="77">
        <v>3800</v>
      </c>
      <c r="AD80" s="711" t="s">
        <v>299</v>
      </c>
      <c r="AE80" s="767"/>
      <c r="AF80" s="767"/>
      <c r="AG80" s="767"/>
      <c r="AH80" s="768"/>
      <c r="AI80" s="130"/>
      <c r="AJ80" s="37"/>
      <c r="AK80" s="37"/>
      <c r="AL80" s="37"/>
      <c r="AM80" s="37"/>
    </row>
    <row r="81" spans="1:39" ht="91.5" customHeight="1" x14ac:dyDescent="0.25">
      <c r="A81" s="2">
        <v>5069</v>
      </c>
      <c r="B81" s="3" t="s">
        <v>78</v>
      </c>
      <c r="C81" s="75">
        <v>2736.1</v>
      </c>
      <c r="D81" s="77">
        <v>2944</v>
      </c>
      <c r="E81" s="77">
        <v>3383</v>
      </c>
      <c r="F81" s="77">
        <v>3373</v>
      </c>
      <c r="G81" s="338">
        <v>2843.5</v>
      </c>
      <c r="H81" s="77">
        <v>3028.33</v>
      </c>
      <c r="I81" s="77">
        <v>3031</v>
      </c>
      <c r="J81" s="8">
        <f t="shared" si="96"/>
        <v>-4.4539755856153086E-2</v>
      </c>
      <c r="K81" s="77">
        <v>2896</v>
      </c>
      <c r="L81" s="8">
        <f t="shared" si="91"/>
        <v>3.7983425414364641E-2</v>
      </c>
      <c r="M81" s="77">
        <v>3006</v>
      </c>
      <c r="N81" s="8">
        <f t="shared" si="92"/>
        <v>0.17298735861610112</v>
      </c>
      <c r="O81" s="77">
        <v>3526</v>
      </c>
      <c r="P81" s="8">
        <f t="shared" si="93"/>
        <v>5.4594441293250142E-3</v>
      </c>
      <c r="Q81" s="77">
        <v>3545.25</v>
      </c>
      <c r="R81" s="8">
        <f t="shared" si="86"/>
        <v>8.6242154996121576E-2</v>
      </c>
      <c r="S81" s="77">
        <v>3851</v>
      </c>
      <c r="T81" s="8">
        <f t="shared" si="87"/>
        <v>1.272396780057128E-2</v>
      </c>
      <c r="U81" s="521">
        <v>3900</v>
      </c>
      <c r="V81" s="8">
        <f t="shared" si="88"/>
        <v>0</v>
      </c>
      <c r="W81" s="75">
        <v>3900</v>
      </c>
      <c r="X81" s="8">
        <f t="shared" si="85"/>
        <v>2.564102564102564E-2</v>
      </c>
      <c r="Y81" s="75">
        <v>4000</v>
      </c>
      <c r="Z81" s="8">
        <f t="shared" si="94"/>
        <v>2.5000000000000001E-2</v>
      </c>
      <c r="AA81" s="75">
        <v>4100</v>
      </c>
      <c r="AB81" s="8">
        <f t="shared" si="95"/>
        <v>0</v>
      </c>
      <c r="AC81" s="75">
        <v>4100</v>
      </c>
      <c r="AD81" s="723" t="s">
        <v>307</v>
      </c>
      <c r="AE81" s="724"/>
      <c r="AF81" s="724"/>
      <c r="AG81" s="724"/>
      <c r="AH81" s="725"/>
      <c r="AI81" s="806"/>
      <c r="AJ81" s="792"/>
      <c r="AK81" s="37"/>
      <c r="AL81" s="37"/>
      <c r="AM81" s="37"/>
    </row>
    <row r="82" spans="1:39" ht="156.75" customHeight="1" x14ac:dyDescent="0.25">
      <c r="A82" s="69">
        <v>5070</v>
      </c>
      <c r="B82" s="120" t="s">
        <v>79</v>
      </c>
      <c r="C82" s="75">
        <v>11441.89</v>
      </c>
      <c r="D82" s="77">
        <v>12592.65</v>
      </c>
      <c r="E82" s="77">
        <v>9129.0499999999993</v>
      </c>
      <c r="F82" s="77">
        <v>11331.36</v>
      </c>
      <c r="G82" s="338">
        <v>11819.68</v>
      </c>
      <c r="H82" s="77">
        <v>12672.27</v>
      </c>
      <c r="I82" s="77">
        <v>13072.6</v>
      </c>
      <c r="J82" s="8">
        <f t="shared" si="96"/>
        <v>1.3484693175037777E-2</v>
      </c>
      <c r="K82" s="77">
        <v>13248.88</v>
      </c>
      <c r="L82" s="8">
        <f t="shared" si="91"/>
        <v>-8.0972882236083302E-2</v>
      </c>
      <c r="M82" s="77">
        <v>12176.08</v>
      </c>
      <c r="N82" s="8">
        <f t="shared" si="92"/>
        <v>0.34036487933719223</v>
      </c>
      <c r="O82" s="77">
        <v>16320.39</v>
      </c>
      <c r="P82" s="8">
        <f t="shared" si="93"/>
        <v>-0.10382962662044223</v>
      </c>
      <c r="Q82" s="77">
        <v>14625.85</v>
      </c>
      <c r="R82" s="8">
        <f t="shared" si="86"/>
        <v>-3.22032565628729E-4</v>
      </c>
      <c r="S82" s="77">
        <v>14621.14</v>
      </c>
      <c r="T82" s="8">
        <f t="shared" si="87"/>
        <v>0.12850297582815023</v>
      </c>
      <c r="U82" s="521">
        <v>16500</v>
      </c>
      <c r="V82" s="8">
        <f t="shared" si="88"/>
        <v>7.1212121212121213E-2</v>
      </c>
      <c r="W82" s="75">
        <v>17675</v>
      </c>
      <c r="X82" s="8">
        <f t="shared" si="85"/>
        <v>0.03</v>
      </c>
      <c r="Y82" s="75">
        <f>W82*1.03</f>
        <v>18205.25</v>
      </c>
      <c r="Z82" s="8">
        <f t="shared" si="94"/>
        <v>3.0000000000000065E-2</v>
      </c>
      <c r="AA82" s="75">
        <f>Y82*1.03</f>
        <v>18751.407500000001</v>
      </c>
      <c r="AB82" s="8">
        <f t="shared" si="95"/>
        <v>3.0000000000000054E-2</v>
      </c>
      <c r="AC82" s="75">
        <f>AA82*1.03</f>
        <v>19313.949725000002</v>
      </c>
      <c r="AD82" s="824" t="s">
        <v>470</v>
      </c>
      <c r="AE82" s="825"/>
      <c r="AF82" s="825"/>
      <c r="AG82" s="825"/>
      <c r="AH82" s="826"/>
      <c r="AI82" s="806"/>
      <c r="AJ82" s="792"/>
      <c r="AK82" s="37"/>
      <c r="AL82" s="37"/>
      <c r="AM82" s="37"/>
    </row>
    <row r="83" spans="1:39" ht="34.9" customHeight="1" x14ac:dyDescent="0.25">
      <c r="A83" s="4">
        <v>5071</v>
      </c>
      <c r="B83" s="5" t="s">
        <v>80</v>
      </c>
      <c r="C83" s="75">
        <v>244.8</v>
      </c>
      <c r="D83" s="77">
        <v>247.5</v>
      </c>
      <c r="E83" s="77">
        <v>277</v>
      </c>
      <c r="F83" s="77">
        <v>97.5</v>
      </c>
      <c r="G83" s="338">
        <v>941.45</v>
      </c>
      <c r="H83" s="77">
        <v>0</v>
      </c>
      <c r="I83" s="77">
        <v>0</v>
      </c>
      <c r="J83" s="8" t="e">
        <f t="shared" si="96"/>
        <v>#DIV/0!</v>
      </c>
      <c r="K83" s="77">
        <v>0</v>
      </c>
      <c r="L83" s="8" t="e">
        <f t="shared" si="91"/>
        <v>#DIV/0!</v>
      </c>
      <c r="M83" s="77">
        <v>150.79</v>
      </c>
      <c r="N83" s="8">
        <f t="shared" si="92"/>
        <v>-1</v>
      </c>
      <c r="O83" s="77">
        <v>0</v>
      </c>
      <c r="P83" s="8" t="e">
        <f t="shared" si="93"/>
        <v>#DIV/0!</v>
      </c>
      <c r="Q83" s="77">
        <v>0</v>
      </c>
      <c r="R83" s="8" t="e">
        <f t="shared" si="86"/>
        <v>#DIV/0!</v>
      </c>
      <c r="S83" s="77">
        <v>0</v>
      </c>
      <c r="T83" s="8" t="e">
        <f t="shared" si="87"/>
        <v>#DIV/0!</v>
      </c>
      <c r="U83" s="521">
        <v>100</v>
      </c>
      <c r="V83" s="8">
        <f t="shared" si="88"/>
        <v>0</v>
      </c>
      <c r="W83" s="75">
        <v>100</v>
      </c>
      <c r="X83" s="8">
        <f t="shared" si="85"/>
        <v>0</v>
      </c>
      <c r="Y83" s="75">
        <v>100</v>
      </c>
      <c r="Z83" s="8">
        <f t="shared" si="94"/>
        <v>0</v>
      </c>
      <c r="AA83" s="75">
        <v>100</v>
      </c>
      <c r="AB83" s="8">
        <f t="shared" si="95"/>
        <v>0</v>
      </c>
      <c r="AC83" s="75">
        <v>100</v>
      </c>
      <c r="AD83" s="827" t="s">
        <v>231</v>
      </c>
      <c r="AE83" s="828"/>
      <c r="AF83" s="828"/>
      <c r="AG83" s="828"/>
      <c r="AH83" s="829"/>
      <c r="AJ83" s="37"/>
      <c r="AK83" s="37"/>
      <c r="AL83" s="37"/>
      <c r="AM83" s="37"/>
    </row>
    <row r="84" spans="1:39" ht="46.15" customHeight="1" x14ac:dyDescent="0.25">
      <c r="A84" s="4">
        <v>5072</v>
      </c>
      <c r="B84" s="5" t="s">
        <v>81</v>
      </c>
      <c r="C84" s="75">
        <v>481.85</v>
      </c>
      <c r="D84" s="77">
        <v>1089.74</v>
      </c>
      <c r="E84" s="77">
        <v>520.5</v>
      </c>
      <c r="F84" s="77">
        <v>807.74</v>
      </c>
      <c r="G84" s="347">
        <v>720.43</v>
      </c>
      <c r="H84" s="77">
        <v>941.9</v>
      </c>
      <c r="I84" s="77">
        <v>325.58</v>
      </c>
      <c r="J84" s="8">
        <f t="shared" si="96"/>
        <v>-0.94538976595613977</v>
      </c>
      <c r="K84" s="77">
        <v>17.78</v>
      </c>
      <c r="L84" s="8">
        <f t="shared" si="91"/>
        <v>25.787401574803148</v>
      </c>
      <c r="M84" s="77">
        <v>476.28</v>
      </c>
      <c r="N84" s="8">
        <f t="shared" si="92"/>
        <v>-0.28044427647602249</v>
      </c>
      <c r="O84" s="77">
        <v>342.71</v>
      </c>
      <c r="P84" s="8">
        <f t="shared" si="93"/>
        <v>0.59035335998365968</v>
      </c>
      <c r="Q84" s="77">
        <v>545.03</v>
      </c>
      <c r="R84" s="8">
        <f t="shared" si="86"/>
        <v>-0.3037814432233088</v>
      </c>
      <c r="S84" s="77">
        <v>379.46</v>
      </c>
      <c r="T84" s="8">
        <f t="shared" si="87"/>
        <v>0.44942813471775689</v>
      </c>
      <c r="U84" s="521">
        <v>550</v>
      </c>
      <c r="V84" s="8">
        <f t="shared" si="88"/>
        <v>0.03</v>
      </c>
      <c r="W84" s="75">
        <f>U84*1.03</f>
        <v>566.5</v>
      </c>
      <c r="X84" s="8">
        <f t="shared" si="85"/>
        <v>3.0000000000000009E-2</v>
      </c>
      <c r="Y84" s="75">
        <f>W84*1.03</f>
        <v>583.495</v>
      </c>
      <c r="Z84" s="8">
        <f t="shared" si="94"/>
        <v>3.0000000000000058E-2</v>
      </c>
      <c r="AA84" s="75">
        <f>Y84*1.03</f>
        <v>600.99985000000004</v>
      </c>
      <c r="AB84" s="8">
        <f t="shared" si="95"/>
        <v>3.0000000000000065E-2</v>
      </c>
      <c r="AC84" s="75">
        <f>AA84*1.03</f>
        <v>619.02984550000008</v>
      </c>
      <c r="AD84" s="1008" t="s">
        <v>274</v>
      </c>
      <c r="AE84" s="1003"/>
      <c r="AF84" s="1003"/>
      <c r="AG84" s="1003"/>
      <c r="AH84" s="1004"/>
      <c r="AI84" s="806"/>
      <c r="AJ84" s="792"/>
      <c r="AK84" s="792"/>
      <c r="AL84" s="792"/>
      <c r="AM84" s="37"/>
    </row>
    <row r="85" spans="1:39" s="16" customFormat="1" ht="30" customHeight="1" thickBot="1" x14ac:dyDescent="0.3">
      <c r="A85" s="24">
        <v>5073</v>
      </c>
      <c r="B85" s="25" t="s">
        <v>82</v>
      </c>
      <c r="C85" s="85">
        <v>71.099999999999994</v>
      </c>
      <c r="D85" s="111">
        <v>92.23</v>
      </c>
      <c r="E85" s="111">
        <v>441</v>
      </c>
      <c r="F85" s="111">
        <v>226.33</v>
      </c>
      <c r="G85" s="348">
        <v>159.07</v>
      </c>
      <c r="H85" s="111">
        <v>144</v>
      </c>
      <c r="I85" s="111">
        <v>112</v>
      </c>
      <c r="J85" s="28">
        <f t="shared" si="96"/>
        <v>1.6183035714285714</v>
      </c>
      <c r="K85" s="111">
        <v>293.25</v>
      </c>
      <c r="L85" s="28">
        <f t="shared" si="91"/>
        <v>0.64815004262574594</v>
      </c>
      <c r="M85" s="111">
        <v>483.32</v>
      </c>
      <c r="N85" s="28">
        <f t="shared" si="92"/>
        <v>-0.25614499710336841</v>
      </c>
      <c r="O85" s="111">
        <v>359.52</v>
      </c>
      <c r="P85" s="28">
        <f t="shared" si="93"/>
        <v>-0.59073208722741433</v>
      </c>
      <c r="Q85" s="111">
        <v>147.13999999999999</v>
      </c>
      <c r="R85" s="28">
        <f t="shared" si="86"/>
        <v>5.5593312491504739E-2</v>
      </c>
      <c r="S85" s="111">
        <v>155.32</v>
      </c>
      <c r="T85" s="28">
        <f t="shared" si="87"/>
        <v>2.2191604429564773</v>
      </c>
      <c r="U85" s="549">
        <v>500</v>
      </c>
      <c r="V85" s="28">
        <f t="shared" si="88"/>
        <v>0</v>
      </c>
      <c r="W85" s="85">
        <v>500</v>
      </c>
      <c r="X85" s="28">
        <f t="shared" si="85"/>
        <v>0</v>
      </c>
      <c r="Y85" s="85">
        <v>500</v>
      </c>
      <c r="Z85" s="28">
        <f t="shared" si="94"/>
        <v>0</v>
      </c>
      <c r="AA85" s="85">
        <v>500</v>
      </c>
      <c r="AB85" s="28">
        <f t="shared" si="95"/>
        <v>0</v>
      </c>
      <c r="AC85" s="85">
        <v>500</v>
      </c>
      <c r="AD85" s="1102" t="s">
        <v>127</v>
      </c>
      <c r="AE85" s="1103"/>
      <c r="AF85" s="1103"/>
      <c r="AG85" s="1103"/>
      <c r="AH85" s="1104"/>
      <c r="AI85" s="131"/>
      <c r="AJ85" s="37"/>
      <c r="AK85" s="37"/>
      <c r="AL85" s="37"/>
      <c r="AM85" s="37"/>
    </row>
    <row r="86" spans="1:39" ht="393" customHeight="1" thickTop="1" x14ac:dyDescent="0.25">
      <c r="A86" s="143">
        <v>5074</v>
      </c>
      <c r="B86" s="144" t="s">
        <v>160</v>
      </c>
      <c r="C86" s="145">
        <v>4998.28</v>
      </c>
      <c r="D86" s="147">
        <v>9847.52</v>
      </c>
      <c r="E86" s="147">
        <v>8944</v>
      </c>
      <c r="F86" s="147">
        <v>8891</v>
      </c>
      <c r="G86" s="349">
        <v>8600</v>
      </c>
      <c r="H86" s="147">
        <v>4771.5</v>
      </c>
      <c r="I86" s="147">
        <v>7647</v>
      </c>
      <c r="J86" s="146">
        <f t="shared" ref="J86:J96" si="97">(K86-I86)/I86</f>
        <v>-0.28599450765005885</v>
      </c>
      <c r="K86" s="147">
        <v>5460</v>
      </c>
      <c r="L86" s="146">
        <f t="shared" si="91"/>
        <v>-0.73809523809523814</v>
      </c>
      <c r="M86" s="147">
        <v>1430</v>
      </c>
      <c r="N86" s="146">
        <f t="shared" si="92"/>
        <v>6.2820419580419582</v>
      </c>
      <c r="O86" s="147">
        <v>10413.32</v>
      </c>
      <c r="P86" s="146">
        <f t="shared" si="93"/>
        <v>-0.30213322936393006</v>
      </c>
      <c r="Q86" s="147">
        <v>7267.11</v>
      </c>
      <c r="R86" s="146">
        <f t="shared" si="86"/>
        <v>-3.6248247239961978E-2</v>
      </c>
      <c r="S86" s="147">
        <v>7003.69</v>
      </c>
      <c r="T86" s="146">
        <f t="shared" si="87"/>
        <v>-0.10047417861156042</v>
      </c>
      <c r="U86" s="639">
        <v>6300</v>
      </c>
      <c r="V86" s="146">
        <f t="shared" si="88"/>
        <v>0.26984126984126983</v>
      </c>
      <c r="W86" s="147">
        <v>8000</v>
      </c>
      <c r="X86" s="146">
        <f t="shared" si="85"/>
        <v>0</v>
      </c>
      <c r="Y86" s="147">
        <v>8000</v>
      </c>
      <c r="Z86" s="146">
        <f t="shared" si="94"/>
        <v>0</v>
      </c>
      <c r="AA86" s="147">
        <v>8000</v>
      </c>
      <c r="AB86" s="146">
        <f t="shared" si="95"/>
        <v>0</v>
      </c>
      <c r="AC86" s="147">
        <v>8000</v>
      </c>
      <c r="AD86" s="1074" t="s">
        <v>519</v>
      </c>
      <c r="AE86" s="1074"/>
      <c r="AF86" s="1074"/>
      <c r="AG86" s="1074"/>
      <c r="AH86" s="1075"/>
      <c r="AI86" s="572"/>
      <c r="AJ86" s="37"/>
      <c r="AK86" s="37"/>
      <c r="AL86" s="37"/>
      <c r="AM86" s="37"/>
    </row>
    <row r="87" spans="1:39" s="16" customFormat="1" ht="51.75" customHeight="1" x14ac:dyDescent="0.25">
      <c r="A87" s="148">
        <v>5075</v>
      </c>
      <c r="B87" s="5" t="s">
        <v>142</v>
      </c>
      <c r="C87" s="76">
        <v>5000</v>
      </c>
      <c r="D87" s="108">
        <v>5750</v>
      </c>
      <c r="E87" s="108">
        <v>5500</v>
      </c>
      <c r="F87" s="108">
        <v>5500</v>
      </c>
      <c r="G87" s="338">
        <v>5500</v>
      </c>
      <c r="H87" s="108">
        <v>5000</v>
      </c>
      <c r="I87" s="108">
        <v>5000</v>
      </c>
      <c r="J87" s="54">
        <f t="shared" si="97"/>
        <v>-0.1</v>
      </c>
      <c r="K87" s="108">
        <v>4500</v>
      </c>
      <c r="L87" s="54">
        <f t="shared" si="91"/>
        <v>-0.1111111111111111</v>
      </c>
      <c r="M87" s="108">
        <v>4000</v>
      </c>
      <c r="N87" s="54">
        <f t="shared" si="92"/>
        <v>0</v>
      </c>
      <c r="O87" s="108">
        <v>4000</v>
      </c>
      <c r="P87" s="54">
        <f t="shared" si="93"/>
        <v>0.25</v>
      </c>
      <c r="Q87" s="108">
        <v>5000</v>
      </c>
      <c r="R87" s="54">
        <f t="shared" si="86"/>
        <v>0</v>
      </c>
      <c r="S87" s="108">
        <v>5000</v>
      </c>
      <c r="T87" s="54">
        <f t="shared" si="87"/>
        <v>0.05</v>
      </c>
      <c r="U87" s="547">
        <v>5250</v>
      </c>
      <c r="V87" s="54">
        <f t="shared" si="88"/>
        <v>0</v>
      </c>
      <c r="W87" s="76">
        <v>5250</v>
      </c>
      <c r="X87" s="54">
        <f t="shared" si="85"/>
        <v>0</v>
      </c>
      <c r="Y87" s="76">
        <v>5250</v>
      </c>
      <c r="Z87" s="54">
        <f t="shared" si="94"/>
        <v>0</v>
      </c>
      <c r="AA87" s="76">
        <v>5250</v>
      </c>
      <c r="AB87" s="54">
        <f t="shared" si="95"/>
        <v>0</v>
      </c>
      <c r="AC87" s="76">
        <v>5250</v>
      </c>
      <c r="AD87" s="1069" t="s">
        <v>432</v>
      </c>
      <c r="AE87" s="1070"/>
      <c r="AF87" s="1070"/>
      <c r="AG87" s="1070"/>
      <c r="AH87" s="1071"/>
      <c r="AI87" s="131"/>
      <c r="AJ87" s="17"/>
      <c r="AK87" s="17"/>
      <c r="AL87" s="17"/>
      <c r="AM87" s="17"/>
    </row>
    <row r="88" spans="1:39" ht="90.75" customHeight="1" x14ac:dyDescent="0.25">
      <c r="A88" s="148">
        <v>5076</v>
      </c>
      <c r="B88" s="5" t="s">
        <v>128</v>
      </c>
      <c r="C88" s="76">
        <v>5327.61</v>
      </c>
      <c r="D88" s="108">
        <v>2746.6</v>
      </c>
      <c r="E88" s="108">
        <v>5253</v>
      </c>
      <c r="F88" s="108">
        <v>3523</v>
      </c>
      <c r="G88" s="338">
        <v>3249</v>
      </c>
      <c r="H88" s="108">
        <v>4309.92</v>
      </c>
      <c r="I88" s="108">
        <v>4620</v>
      </c>
      <c r="J88" s="54">
        <f t="shared" si="97"/>
        <v>-0.26038961038961039</v>
      </c>
      <c r="K88" s="108">
        <v>3417</v>
      </c>
      <c r="L88" s="54">
        <f t="shared" si="91"/>
        <v>0.47144278606965179</v>
      </c>
      <c r="M88" s="108">
        <v>5027.92</v>
      </c>
      <c r="N88" s="54">
        <f t="shared" si="92"/>
        <v>0.14818851533039507</v>
      </c>
      <c r="O88" s="108">
        <v>5773</v>
      </c>
      <c r="P88" s="54">
        <f t="shared" si="93"/>
        <v>-0.53334488134418845</v>
      </c>
      <c r="Q88" s="108">
        <v>2694</v>
      </c>
      <c r="R88" s="54">
        <f t="shared" si="86"/>
        <v>0.48478099480326653</v>
      </c>
      <c r="S88" s="108">
        <v>4000</v>
      </c>
      <c r="T88" s="54">
        <f t="shared" si="87"/>
        <v>1.5249999999999999</v>
      </c>
      <c r="U88" s="547">
        <v>10100</v>
      </c>
      <c r="V88" s="54">
        <f t="shared" si="88"/>
        <v>-0.14851485148514851</v>
      </c>
      <c r="W88" s="633">
        <v>8600</v>
      </c>
      <c r="X88" s="54">
        <f t="shared" si="85"/>
        <v>0</v>
      </c>
      <c r="Y88" s="76">
        <v>8600</v>
      </c>
      <c r="Z88" s="54">
        <f t="shared" si="94"/>
        <v>0</v>
      </c>
      <c r="AA88" s="76">
        <v>8600</v>
      </c>
      <c r="AB88" s="54">
        <f t="shared" si="95"/>
        <v>0</v>
      </c>
      <c r="AC88" s="76">
        <v>8600</v>
      </c>
      <c r="AD88" s="1069" t="s">
        <v>505</v>
      </c>
      <c r="AE88" s="1070"/>
      <c r="AF88" s="1070"/>
      <c r="AG88" s="1070"/>
      <c r="AH88" s="1071"/>
      <c r="AJ88" s="37"/>
      <c r="AK88" s="37"/>
      <c r="AL88" s="37"/>
      <c r="AM88" s="37"/>
    </row>
    <row r="89" spans="1:39" ht="255.75" customHeight="1" x14ac:dyDescent="0.25">
      <c r="A89" s="148">
        <v>5077</v>
      </c>
      <c r="B89" s="5" t="s">
        <v>83</v>
      </c>
      <c r="C89" s="76">
        <v>6971.4</v>
      </c>
      <c r="D89" s="108">
        <v>6971.37</v>
      </c>
      <c r="E89" s="108">
        <v>7471</v>
      </c>
      <c r="F89" s="108">
        <v>7312.56</v>
      </c>
      <c r="G89" s="338">
        <v>6622.37</v>
      </c>
      <c r="H89" s="108">
        <v>6622.37</v>
      </c>
      <c r="I89" s="108">
        <v>4922.37</v>
      </c>
      <c r="J89" s="54">
        <f t="shared" si="97"/>
        <v>-0.40630834333867627</v>
      </c>
      <c r="K89" s="108">
        <v>2922.37</v>
      </c>
      <c r="L89" s="54">
        <f t="shared" si="91"/>
        <v>-0.31562396274256849</v>
      </c>
      <c r="M89" s="108">
        <v>2000</v>
      </c>
      <c r="N89" s="54">
        <f t="shared" si="92"/>
        <v>-0.11781500000000006</v>
      </c>
      <c r="O89" s="108">
        <v>1764.37</v>
      </c>
      <c r="P89" s="54">
        <f t="shared" si="93"/>
        <v>5.8377777903727681</v>
      </c>
      <c r="Q89" s="108">
        <v>12064.37</v>
      </c>
      <c r="R89" s="54">
        <f t="shared" si="86"/>
        <v>-0.17525739014967218</v>
      </c>
      <c r="S89" s="108">
        <v>9950</v>
      </c>
      <c r="T89" s="54">
        <f t="shared" si="87"/>
        <v>0.33668341708542715</v>
      </c>
      <c r="U89" s="547">
        <v>13300</v>
      </c>
      <c r="V89" s="54">
        <f t="shared" si="88"/>
        <v>0.11278195488721804</v>
      </c>
      <c r="W89" s="633">
        <v>14800</v>
      </c>
      <c r="X89" s="54">
        <f t="shared" si="85"/>
        <v>0</v>
      </c>
      <c r="Y89" s="108">
        <v>14800</v>
      </c>
      <c r="Z89" s="54">
        <f t="shared" si="94"/>
        <v>0</v>
      </c>
      <c r="AA89" s="108">
        <v>14800</v>
      </c>
      <c r="AB89" s="54">
        <f t="shared" si="95"/>
        <v>0</v>
      </c>
      <c r="AC89" s="108">
        <v>14800</v>
      </c>
      <c r="AD89" s="1089" t="s">
        <v>506</v>
      </c>
      <c r="AE89" s="1090"/>
      <c r="AF89" s="1090"/>
      <c r="AG89" s="1090"/>
      <c r="AH89" s="1091"/>
      <c r="AI89" s="132"/>
      <c r="AJ89" s="158"/>
      <c r="AK89" s="123"/>
      <c r="AL89" s="123"/>
      <c r="AM89" s="123"/>
    </row>
    <row r="90" spans="1:39" ht="63" customHeight="1" x14ac:dyDescent="0.25">
      <c r="A90" s="148" t="s">
        <v>161</v>
      </c>
      <c r="B90" s="5" t="s">
        <v>162</v>
      </c>
      <c r="C90" s="76">
        <v>2404.2399999999998</v>
      </c>
      <c r="D90" s="108">
        <v>2404.2399999999998</v>
      </c>
      <c r="E90" s="108">
        <v>2404.2399999999998</v>
      </c>
      <c r="F90" s="108">
        <v>2404.2399999999998</v>
      </c>
      <c r="G90" s="338">
        <v>2404.21</v>
      </c>
      <c r="H90" s="108">
        <v>2404.2399999999998</v>
      </c>
      <c r="I90" s="108">
        <v>2404.2399999999998</v>
      </c>
      <c r="J90" s="54">
        <f t="shared" si="97"/>
        <v>-1</v>
      </c>
      <c r="K90" s="108">
        <v>0</v>
      </c>
      <c r="L90" s="54" t="e">
        <f t="shared" si="91"/>
        <v>#DIV/0!</v>
      </c>
      <c r="M90" s="108">
        <v>0</v>
      </c>
      <c r="N90" s="54" t="e">
        <f t="shared" si="92"/>
        <v>#DIV/0!</v>
      </c>
      <c r="O90" s="108">
        <v>0</v>
      </c>
      <c r="P90" s="54" t="e">
        <f t="shared" si="93"/>
        <v>#DIV/0!</v>
      </c>
      <c r="Q90" s="108">
        <v>0</v>
      </c>
      <c r="R90" s="54" t="e">
        <f t="shared" si="86"/>
        <v>#DIV/0!</v>
      </c>
      <c r="S90" s="108">
        <v>2404.25</v>
      </c>
      <c r="T90" s="54">
        <f t="shared" si="87"/>
        <v>1.902880316106894E-2</v>
      </c>
      <c r="U90" s="547">
        <v>2450</v>
      </c>
      <c r="V90" s="54">
        <f t="shared" si="88"/>
        <v>0</v>
      </c>
      <c r="W90" s="76">
        <v>2450</v>
      </c>
      <c r="X90" s="54">
        <f t="shared" si="85"/>
        <v>0</v>
      </c>
      <c r="Y90" s="76">
        <v>2450</v>
      </c>
      <c r="Z90" s="54">
        <f t="shared" si="94"/>
        <v>0</v>
      </c>
      <c r="AA90" s="76">
        <v>2450</v>
      </c>
      <c r="AB90" s="54">
        <f t="shared" si="95"/>
        <v>0</v>
      </c>
      <c r="AC90" s="76">
        <v>2450</v>
      </c>
      <c r="AD90" s="1069" t="s">
        <v>380</v>
      </c>
      <c r="AE90" s="1070"/>
      <c r="AF90" s="1070"/>
      <c r="AG90" s="1070"/>
      <c r="AH90" s="1071"/>
      <c r="AI90" s="574"/>
      <c r="AJ90" s="124"/>
      <c r="AK90" s="124"/>
      <c r="AL90" s="124"/>
      <c r="AM90" s="124"/>
    </row>
    <row r="91" spans="1:39" ht="126.75" customHeight="1" x14ac:dyDescent="0.25">
      <c r="A91" s="523">
        <v>5078</v>
      </c>
      <c r="B91" s="25" t="s">
        <v>335</v>
      </c>
      <c r="C91" s="99"/>
      <c r="D91" s="119"/>
      <c r="E91" s="119"/>
      <c r="F91" s="119"/>
      <c r="G91" s="349"/>
      <c r="H91" s="119"/>
      <c r="I91" s="524"/>
      <c r="J91" s="525"/>
      <c r="K91" s="524"/>
      <c r="L91" s="525"/>
      <c r="M91" s="524"/>
      <c r="N91" s="525"/>
      <c r="O91" s="524"/>
      <c r="P91" s="525"/>
      <c r="Q91" s="119">
        <v>0</v>
      </c>
      <c r="R91" s="60" t="e">
        <f t="shared" si="86"/>
        <v>#DIV/0!</v>
      </c>
      <c r="S91" s="119">
        <v>2055.5</v>
      </c>
      <c r="T91" s="60">
        <f t="shared" si="87"/>
        <v>5.3242520068109949</v>
      </c>
      <c r="U91" s="550">
        <v>12999.5</v>
      </c>
      <c r="V91" s="60">
        <f t="shared" si="88"/>
        <v>-0.84614792876649103</v>
      </c>
      <c r="W91" s="99">
        <v>2000</v>
      </c>
      <c r="X91" s="60">
        <f t="shared" si="85"/>
        <v>0</v>
      </c>
      <c r="Y91" s="99">
        <v>2000</v>
      </c>
      <c r="Z91" s="60">
        <f t="shared" si="94"/>
        <v>0</v>
      </c>
      <c r="AA91" s="99">
        <v>2000</v>
      </c>
      <c r="AB91" s="60">
        <f t="shared" si="95"/>
        <v>0</v>
      </c>
      <c r="AC91" s="99">
        <v>2000</v>
      </c>
      <c r="AD91" s="1066" t="s">
        <v>448</v>
      </c>
      <c r="AE91" s="1072"/>
      <c r="AF91" s="1072"/>
      <c r="AG91" s="1072"/>
      <c r="AH91" s="1073"/>
      <c r="AI91" s="575"/>
      <c r="AJ91" s="124"/>
      <c r="AK91" s="124"/>
      <c r="AL91" s="124"/>
      <c r="AM91" s="124"/>
    </row>
    <row r="92" spans="1:39" s="17" customFormat="1" ht="143.25" customHeight="1" thickBot="1" x14ac:dyDescent="0.3">
      <c r="A92" s="149">
        <v>5079</v>
      </c>
      <c r="B92" s="150" t="s">
        <v>84</v>
      </c>
      <c r="C92" s="151">
        <v>26553</v>
      </c>
      <c r="D92" s="153">
        <v>26858.959999999999</v>
      </c>
      <c r="E92" s="153">
        <v>27926.959999999999</v>
      </c>
      <c r="F92" s="153">
        <v>28045</v>
      </c>
      <c r="G92" s="349">
        <v>28549.96</v>
      </c>
      <c r="H92" s="153">
        <v>29048.959999999999</v>
      </c>
      <c r="I92" s="153">
        <v>29582</v>
      </c>
      <c r="J92" s="152">
        <f t="shared" si="97"/>
        <v>3.9244134946927127E-2</v>
      </c>
      <c r="K92" s="153">
        <v>30742.92</v>
      </c>
      <c r="L92" s="152">
        <f t="shared" si="91"/>
        <v>2.0592708825316587E-2</v>
      </c>
      <c r="M92" s="153">
        <v>31376</v>
      </c>
      <c r="N92" s="152">
        <f t="shared" si="92"/>
        <v>-2.4502804691483915E-2</v>
      </c>
      <c r="O92" s="153">
        <v>30607.200000000001</v>
      </c>
      <c r="P92" s="152">
        <f t="shared" si="93"/>
        <v>-0.48267074413863403</v>
      </c>
      <c r="Q92" s="153">
        <v>15834</v>
      </c>
      <c r="R92" s="152">
        <f t="shared" si="86"/>
        <v>9.9911582670203364E-2</v>
      </c>
      <c r="S92" s="153">
        <v>17416</v>
      </c>
      <c r="T92" s="152">
        <f t="shared" si="87"/>
        <v>2.9972439136426273E-2</v>
      </c>
      <c r="U92" s="551">
        <v>17938</v>
      </c>
      <c r="V92" s="152">
        <f t="shared" si="88"/>
        <v>2.9999999999999968E-2</v>
      </c>
      <c r="W92" s="151">
        <f>U92*1.03</f>
        <v>18476.14</v>
      </c>
      <c r="X92" s="152">
        <f t="shared" si="85"/>
        <v>3.0000000000000103E-2</v>
      </c>
      <c r="Y92" s="151">
        <f>W92*1.03</f>
        <v>19030.424200000001</v>
      </c>
      <c r="Z92" s="152">
        <f t="shared" si="94"/>
        <v>3.0000000000000117E-2</v>
      </c>
      <c r="AA92" s="151">
        <f>Y92*1.03</f>
        <v>19601.336926000004</v>
      </c>
      <c r="AB92" s="152">
        <f t="shared" si="95"/>
        <v>3.0000000000000075E-2</v>
      </c>
      <c r="AC92" s="151">
        <f>AA92*1.03</f>
        <v>20189.377033780005</v>
      </c>
      <c r="AD92" s="957" t="s">
        <v>392</v>
      </c>
      <c r="AE92" s="958"/>
      <c r="AF92" s="958"/>
      <c r="AG92" s="958"/>
      <c r="AH92" s="959"/>
      <c r="AI92" s="836"/>
      <c r="AJ92" s="792"/>
      <c r="AK92" s="792"/>
      <c r="AL92" s="792"/>
    </row>
    <row r="93" spans="1:39" s="17" customFormat="1" ht="32.25" customHeight="1" thickBot="1" x14ac:dyDescent="0.3">
      <c r="A93" s="976" t="s">
        <v>158</v>
      </c>
      <c r="B93" s="977"/>
      <c r="C93" s="83">
        <f t="shared" ref="C93:I93" si="98">SUM(C86:C92)</f>
        <v>51254.53</v>
      </c>
      <c r="D93" s="83">
        <f t="shared" si="98"/>
        <v>54578.689999999995</v>
      </c>
      <c r="E93" s="83">
        <f t="shared" si="98"/>
        <v>57499.199999999997</v>
      </c>
      <c r="F93" s="83">
        <f t="shared" si="98"/>
        <v>55675.8</v>
      </c>
      <c r="G93" s="83">
        <f t="shared" si="98"/>
        <v>54925.539999999994</v>
      </c>
      <c r="H93" s="83">
        <f t="shared" si="98"/>
        <v>52156.99</v>
      </c>
      <c r="I93" s="83">
        <f t="shared" si="98"/>
        <v>54175.61</v>
      </c>
      <c r="J93" s="48">
        <f t="shared" si="97"/>
        <v>-0.1316703217554912</v>
      </c>
      <c r="K93" s="83">
        <f>SUM(K86:K92)</f>
        <v>47042.289999999994</v>
      </c>
      <c r="L93" s="48">
        <f t="shared" si="91"/>
        <v>-6.8201824358465446E-2</v>
      </c>
      <c r="M93" s="83">
        <f>SUM(M86:M92)</f>
        <v>43833.919999999998</v>
      </c>
      <c r="N93" s="48">
        <f t="shared" si="92"/>
        <v>0.19902326782546487</v>
      </c>
      <c r="O93" s="83">
        <f>SUM(O86:O92)</f>
        <v>52557.89</v>
      </c>
      <c r="P93" s="48">
        <f t="shared" si="93"/>
        <v>-0.18452814601194981</v>
      </c>
      <c r="Q93" s="83">
        <f>SUM(Q86:Q92)</f>
        <v>42859.48</v>
      </c>
      <c r="R93" s="48">
        <f t="shared" si="86"/>
        <v>0.11595940968019208</v>
      </c>
      <c r="S93" s="83">
        <f>SUM(S86:S92)</f>
        <v>47829.440000000002</v>
      </c>
      <c r="T93" s="48">
        <f t="shared" si="87"/>
        <v>0.42877482989556215</v>
      </c>
      <c r="U93" s="83">
        <f>SUM(U86:U92)</f>
        <v>68337.5</v>
      </c>
      <c r="V93" s="48">
        <f t="shared" si="88"/>
        <v>-0.12820720687762943</v>
      </c>
      <c r="W93" s="83">
        <f>SUM(W86:W92)</f>
        <v>59576.14</v>
      </c>
      <c r="X93" s="48">
        <f t="shared" si="85"/>
        <v>9.3037951099215546E-3</v>
      </c>
      <c r="Y93" s="83">
        <f>SUM(Y86:Y92)</f>
        <v>60130.424200000001</v>
      </c>
      <c r="Z93" s="48">
        <f t="shared" si="94"/>
        <v>9.4945733976711626E-3</v>
      </c>
      <c r="AA93" s="83">
        <f>SUM(AA86:AA92)</f>
        <v>60701.336926000004</v>
      </c>
      <c r="AB93" s="48">
        <f t="shared" si="95"/>
        <v>9.6874325601242553E-3</v>
      </c>
      <c r="AC93" s="83">
        <f>SUM(AC86:AC92)</f>
        <v>61289.377033780009</v>
      </c>
      <c r="AD93" s="960"/>
      <c r="AE93" s="961"/>
      <c r="AF93" s="961"/>
      <c r="AG93" s="961"/>
      <c r="AH93" s="962"/>
      <c r="AI93" s="133"/>
      <c r="AJ93" s="125"/>
      <c r="AK93" s="125"/>
      <c r="AL93" s="125"/>
      <c r="AM93" s="125"/>
    </row>
    <row r="94" spans="1:39" ht="116.25" customHeight="1" x14ac:dyDescent="0.35">
      <c r="A94" s="528">
        <v>5080</v>
      </c>
      <c r="B94" s="529" t="s">
        <v>352</v>
      </c>
      <c r="C94" s="84">
        <v>0</v>
      </c>
      <c r="D94" s="112">
        <v>0</v>
      </c>
      <c r="E94" s="112">
        <v>0</v>
      </c>
      <c r="F94" s="112">
        <v>0</v>
      </c>
      <c r="G94" s="350">
        <v>0</v>
      </c>
      <c r="H94" s="112">
        <v>0</v>
      </c>
      <c r="I94" s="112">
        <v>0</v>
      </c>
      <c r="J94" s="527"/>
      <c r="K94" s="112">
        <v>18.16</v>
      </c>
      <c r="L94" s="527"/>
      <c r="M94" s="526"/>
      <c r="N94" s="527"/>
      <c r="O94" s="526"/>
      <c r="P94" s="527"/>
      <c r="Q94" s="112">
        <v>727.15</v>
      </c>
      <c r="R94" s="29">
        <f t="shared" si="86"/>
        <v>-0.50378876435398467</v>
      </c>
      <c r="S94" s="112">
        <v>360.82</v>
      </c>
      <c r="T94" s="29">
        <f t="shared" si="87"/>
        <v>15.628789978382574</v>
      </c>
      <c r="U94" s="548">
        <v>6000</v>
      </c>
      <c r="V94" s="29">
        <f t="shared" si="88"/>
        <v>-1</v>
      </c>
      <c r="W94" s="84">
        <v>0</v>
      </c>
      <c r="X94" s="29" t="e">
        <f t="shared" si="85"/>
        <v>#DIV/0!</v>
      </c>
      <c r="Y94" s="84">
        <v>0</v>
      </c>
      <c r="Z94" s="29" t="e">
        <f t="shared" si="94"/>
        <v>#DIV/0!</v>
      </c>
      <c r="AA94" s="84">
        <v>0</v>
      </c>
      <c r="AB94" s="29" t="e">
        <f t="shared" si="95"/>
        <v>#DIV/0!</v>
      </c>
      <c r="AC94" s="84">
        <v>0</v>
      </c>
      <c r="AD94" s="1053" t="s">
        <v>449</v>
      </c>
      <c r="AE94" s="1054"/>
      <c r="AF94" s="1054"/>
      <c r="AG94" s="1054"/>
      <c r="AH94" s="1055"/>
      <c r="AI94" s="531"/>
      <c r="AJ94" s="125"/>
      <c r="AK94" s="125"/>
      <c r="AL94" s="125"/>
      <c r="AM94" s="125"/>
    </row>
    <row r="95" spans="1:39" ht="81" customHeight="1" x14ac:dyDescent="0.25">
      <c r="A95" s="4">
        <v>5081</v>
      </c>
      <c r="B95" s="5" t="s">
        <v>85</v>
      </c>
      <c r="C95" s="75">
        <v>1235.6099999999999</v>
      </c>
      <c r="D95" s="77">
        <v>1393.95</v>
      </c>
      <c r="E95" s="77">
        <v>1098.0899999999999</v>
      </c>
      <c r="F95" s="77">
        <v>1137.3699999999999</v>
      </c>
      <c r="G95" s="338">
        <v>959.47</v>
      </c>
      <c r="H95" s="77">
        <v>1063.6500000000001</v>
      </c>
      <c r="I95" s="77">
        <v>854.93</v>
      </c>
      <c r="J95" s="8">
        <f t="shared" si="97"/>
        <v>-0.55446644754541308</v>
      </c>
      <c r="K95" s="77">
        <v>380.9</v>
      </c>
      <c r="L95" s="8">
        <f t="shared" si="91"/>
        <v>0.88687319506432161</v>
      </c>
      <c r="M95" s="77">
        <v>718.71</v>
      </c>
      <c r="N95" s="8">
        <f t="shared" si="92"/>
        <v>0.24250393065353196</v>
      </c>
      <c r="O95" s="77">
        <v>893</v>
      </c>
      <c r="P95" s="8">
        <f t="shared" si="93"/>
        <v>-0.21509518477043676</v>
      </c>
      <c r="Q95" s="77">
        <v>700.92</v>
      </c>
      <c r="R95" s="8">
        <f t="shared" si="86"/>
        <v>0.24373680305883702</v>
      </c>
      <c r="S95" s="77">
        <v>871.76</v>
      </c>
      <c r="T95" s="8">
        <f t="shared" si="87"/>
        <v>-8.2316233825823606E-2</v>
      </c>
      <c r="U95" s="521">
        <v>800</v>
      </c>
      <c r="V95" s="8">
        <f t="shared" si="88"/>
        <v>0</v>
      </c>
      <c r="W95" s="75">
        <f>U95*1</f>
        <v>800</v>
      </c>
      <c r="X95" s="8">
        <f t="shared" si="85"/>
        <v>0</v>
      </c>
      <c r="Y95" s="75">
        <f>W95*1</f>
        <v>800</v>
      </c>
      <c r="Z95" s="8">
        <f t="shared" si="94"/>
        <v>0</v>
      </c>
      <c r="AA95" s="75">
        <f>Y95*1</f>
        <v>800</v>
      </c>
      <c r="AB95" s="8">
        <f t="shared" si="95"/>
        <v>0</v>
      </c>
      <c r="AC95" s="75">
        <f>AA95*1</f>
        <v>800</v>
      </c>
      <c r="AD95" s="676" t="s">
        <v>311</v>
      </c>
      <c r="AE95" s="706"/>
      <c r="AF95" s="706"/>
      <c r="AG95" s="706"/>
      <c r="AH95" s="707"/>
      <c r="AI95" s="413"/>
      <c r="AJ95" s="17"/>
      <c r="AK95" s="17"/>
      <c r="AL95" s="17"/>
      <c r="AM95" s="37"/>
    </row>
    <row r="96" spans="1:39" ht="127.5" customHeight="1" x14ac:dyDescent="0.25">
      <c r="A96" s="2">
        <v>5082</v>
      </c>
      <c r="B96" s="3" t="s">
        <v>86</v>
      </c>
      <c r="C96" s="75">
        <v>604.74</v>
      </c>
      <c r="D96" s="77">
        <v>390.98</v>
      </c>
      <c r="E96" s="77">
        <v>1049.29</v>
      </c>
      <c r="F96" s="77">
        <v>941.34</v>
      </c>
      <c r="G96" s="338">
        <v>1130.8599999999999</v>
      </c>
      <c r="H96" s="77">
        <v>940.76</v>
      </c>
      <c r="I96" s="77">
        <v>1167.22</v>
      </c>
      <c r="J96" s="8">
        <f t="shared" si="97"/>
        <v>-0.3100872157776598</v>
      </c>
      <c r="K96" s="77">
        <v>805.28</v>
      </c>
      <c r="L96" s="8">
        <f t="shared" si="91"/>
        <v>-0.19847754818199873</v>
      </c>
      <c r="M96" s="77">
        <v>645.45000000000005</v>
      </c>
      <c r="N96" s="8">
        <f t="shared" si="92"/>
        <v>0.19800139437601666</v>
      </c>
      <c r="O96" s="77">
        <v>773.25</v>
      </c>
      <c r="P96" s="8">
        <f t="shared" si="93"/>
        <v>0.16751374070481728</v>
      </c>
      <c r="Q96" s="77">
        <v>902.78</v>
      </c>
      <c r="R96" s="8">
        <f t="shared" si="86"/>
        <v>-0.6208489332949334</v>
      </c>
      <c r="S96" s="77">
        <v>342.29</v>
      </c>
      <c r="T96" s="8">
        <f t="shared" si="87"/>
        <v>0.46074965672383056</v>
      </c>
      <c r="U96" s="521">
        <v>500</v>
      </c>
      <c r="V96" s="8">
        <f t="shared" si="88"/>
        <v>0</v>
      </c>
      <c r="W96" s="77">
        <v>500</v>
      </c>
      <c r="X96" s="8">
        <f t="shared" si="85"/>
        <v>0</v>
      </c>
      <c r="Y96" s="77">
        <v>500</v>
      </c>
      <c r="Z96" s="8">
        <f t="shared" si="94"/>
        <v>0</v>
      </c>
      <c r="AA96" s="77">
        <v>500</v>
      </c>
      <c r="AB96" s="8">
        <f t="shared" si="95"/>
        <v>0</v>
      </c>
      <c r="AC96" s="77">
        <v>500</v>
      </c>
      <c r="AD96" s="676" t="s">
        <v>395</v>
      </c>
      <c r="AE96" s="706"/>
      <c r="AF96" s="706"/>
      <c r="AG96" s="706"/>
      <c r="AH96" s="707"/>
      <c r="AI96" s="413"/>
      <c r="AJ96" s="17"/>
      <c r="AK96" s="17"/>
      <c r="AL96" s="17"/>
      <c r="AM96" s="37"/>
    </row>
    <row r="97" spans="1:41" ht="30.75" customHeight="1" x14ac:dyDescent="0.25">
      <c r="A97" s="2">
        <v>5083</v>
      </c>
      <c r="B97" s="3" t="s">
        <v>87</v>
      </c>
      <c r="C97" s="76">
        <v>0</v>
      </c>
      <c r="D97" s="108">
        <v>0</v>
      </c>
      <c r="E97" s="108">
        <v>0</v>
      </c>
      <c r="F97" s="77">
        <v>0</v>
      </c>
      <c r="G97" s="338">
        <v>0</v>
      </c>
      <c r="H97" s="77">
        <v>0</v>
      </c>
      <c r="I97" s="77">
        <v>0</v>
      </c>
      <c r="J97" s="8" t="e">
        <f t="shared" ref="J97" si="99">(K97-I97)/I97</f>
        <v>#DIV/0!</v>
      </c>
      <c r="K97" s="77">
        <v>0</v>
      </c>
      <c r="L97" s="8" t="e">
        <f t="shared" si="91"/>
        <v>#DIV/0!</v>
      </c>
      <c r="M97" s="77">
        <v>0</v>
      </c>
      <c r="N97" s="8" t="e">
        <f t="shared" si="92"/>
        <v>#DIV/0!</v>
      </c>
      <c r="O97" s="77">
        <v>0</v>
      </c>
      <c r="P97" s="8" t="e">
        <f t="shared" si="93"/>
        <v>#DIV/0!</v>
      </c>
      <c r="Q97" s="77">
        <v>0</v>
      </c>
      <c r="R97" s="8" t="e">
        <f t="shared" si="86"/>
        <v>#DIV/0!</v>
      </c>
      <c r="S97" s="77">
        <v>0</v>
      </c>
      <c r="T97" s="8" t="e">
        <f t="shared" si="87"/>
        <v>#DIV/0!</v>
      </c>
      <c r="U97" s="521">
        <v>0</v>
      </c>
      <c r="V97" s="8" t="e">
        <f t="shared" si="88"/>
        <v>#DIV/0!</v>
      </c>
      <c r="W97" s="75">
        <v>0</v>
      </c>
      <c r="X97" s="8" t="e">
        <f t="shared" si="85"/>
        <v>#DIV/0!</v>
      </c>
      <c r="Y97" s="75">
        <v>0</v>
      </c>
      <c r="Z97" s="8" t="e">
        <f t="shared" si="94"/>
        <v>#DIV/0!</v>
      </c>
      <c r="AA97" s="75">
        <v>0</v>
      </c>
      <c r="AB97" s="8" t="e">
        <f t="shared" si="95"/>
        <v>#DIV/0!</v>
      </c>
      <c r="AC97" s="75">
        <v>0</v>
      </c>
      <c r="AD97" s="852" t="s">
        <v>186</v>
      </c>
      <c r="AE97" s="735"/>
      <c r="AF97" s="735"/>
      <c r="AG97" s="735"/>
      <c r="AH97" s="736"/>
      <c r="AI97" s="135"/>
      <c r="AJ97" s="17"/>
      <c r="AK97" s="17"/>
      <c r="AL97" s="17"/>
      <c r="AM97" s="37"/>
    </row>
    <row r="98" spans="1:41" ht="118.5" customHeight="1" x14ac:dyDescent="0.25">
      <c r="A98" s="2">
        <v>5084</v>
      </c>
      <c r="B98" s="3" t="s">
        <v>403</v>
      </c>
      <c r="C98" s="75"/>
      <c r="D98" s="77"/>
      <c r="E98" s="77"/>
      <c r="F98" s="77"/>
      <c r="G98" s="338"/>
      <c r="H98" s="77"/>
      <c r="I98" s="77"/>
      <c r="J98" s="8"/>
      <c r="K98" s="360"/>
      <c r="L98" s="361"/>
      <c r="M98" s="360"/>
      <c r="N98" s="361"/>
      <c r="O98" s="360"/>
      <c r="P98" s="361"/>
      <c r="Q98" s="360"/>
      <c r="R98" s="361"/>
      <c r="S98" s="77">
        <v>1243.8499999999999</v>
      </c>
      <c r="T98" s="361"/>
      <c r="U98" s="629">
        <v>11756.15</v>
      </c>
      <c r="V98" s="8">
        <f t="shared" ref="V98" si="100">(W98-U98)/U98</f>
        <v>-0.82987627752282844</v>
      </c>
      <c r="W98" s="77">
        <v>2000</v>
      </c>
      <c r="X98" s="8">
        <f t="shared" ref="X98" si="101">(Y98-W98)/W98</f>
        <v>0</v>
      </c>
      <c r="Y98" s="77">
        <v>2000</v>
      </c>
      <c r="Z98" s="8">
        <f t="shared" si="94"/>
        <v>0</v>
      </c>
      <c r="AA98" s="77">
        <v>2000</v>
      </c>
      <c r="AB98" s="8">
        <f t="shared" si="95"/>
        <v>0</v>
      </c>
      <c r="AC98" s="77">
        <v>2000</v>
      </c>
      <c r="AD98" s="1066" t="s">
        <v>507</v>
      </c>
      <c r="AE98" s="1067"/>
      <c r="AF98" s="1067"/>
      <c r="AG98" s="1067"/>
      <c r="AH98" s="1068"/>
      <c r="AI98" s="135"/>
      <c r="AJ98" s="17"/>
      <c r="AK98" s="17"/>
      <c r="AL98" s="17"/>
      <c r="AM98" s="37"/>
    </row>
    <row r="99" spans="1:41" ht="254.25" customHeight="1" x14ac:dyDescent="0.25">
      <c r="A99" s="2">
        <v>5085</v>
      </c>
      <c r="B99" s="3" t="s">
        <v>88</v>
      </c>
      <c r="C99" s="75">
        <v>7108.99</v>
      </c>
      <c r="D99" s="113">
        <v>6957.52</v>
      </c>
      <c r="E99" s="77">
        <v>7716.27</v>
      </c>
      <c r="F99" s="77">
        <v>7514.7</v>
      </c>
      <c r="G99" s="338">
        <v>7881.26</v>
      </c>
      <c r="H99" s="77">
        <v>8397.41</v>
      </c>
      <c r="I99" s="77">
        <v>7868.85</v>
      </c>
      <c r="J99" s="8">
        <f>(K99-I99)/I99</f>
        <v>-0.60016393755123054</v>
      </c>
      <c r="K99" s="77">
        <v>3146.25</v>
      </c>
      <c r="L99" s="8">
        <f>(M99-K99)/K99</f>
        <v>1.3540850218514104</v>
      </c>
      <c r="M99" s="77">
        <v>7406.54</v>
      </c>
      <c r="N99" s="8">
        <f>(O99-M99)/M99</f>
        <v>0.15085046458940338</v>
      </c>
      <c r="O99" s="77">
        <v>8523.82</v>
      </c>
      <c r="P99" s="8">
        <f>(Q99-O99)/O99</f>
        <v>0.26028236166413654</v>
      </c>
      <c r="Q99" s="77">
        <v>10742.42</v>
      </c>
      <c r="R99" s="8">
        <f t="shared" ref="R99:R107" si="102">(S99-Q99)/Q99</f>
        <v>-7.6405502670720438E-2</v>
      </c>
      <c r="S99" s="77">
        <v>9921.64</v>
      </c>
      <c r="T99" s="8">
        <f t="shared" ref="T99:T107" si="103">(U99-S99)/S99</f>
        <v>0.20947746541902354</v>
      </c>
      <c r="U99" s="521">
        <v>12000</v>
      </c>
      <c r="V99" s="8">
        <f t="shared" ref="V99:V107" si="104">(W99-U99)/U99</f>
        <v>0</v>
      </c>
      <c r="W99" s="77">
        <v>12000</v>
      </c>
      <c r="X99" s="8">
        <f t="shared" si="85"/>
        <v>3.3333333333333333E-2</v>
      </c>
      <c r="Y99" s="77">
        <v>12400</v>
      </c>
      <c r="Z99" s="8">
        <f t="shared" si="94"/>
        <v>8.0645161290322578E-3</v>
      </c>
      <c r="AA99" s="77">
        <v>12500</v>
      </c>
      <c r="AB99" s="8">
        <f t="shared" si="95"/>
        <v>0</v>
      </c>
      <c r="AC99" s="77">
        <v>12500</v>
      </c>
      <c r="AD99" s="676" t="s">
        <v>397</v>
      </c>
      <c r="AE99" s="706"/>
      <c r="AF99" s="706"/>
      <c r="AG99" s="706"/>
      <c r="AH99" s="707"/>
      <c r="AI99" s="793"/>
      <c r="AJ99" s="815"/>
      <c r="AK99" s="815"/>
      <c r="AL99" s="815"/>
      <c r="AM99" s="37"/>
    </row>
    <row r="100" spans="1:41" ht="241.5" customHeight="1" x14ac:dyDescent="0.25">
      <c r="A100" s="2">
        <v>5086</v>
      </c>
      <c r="B100" s="3" t="s">
        <v>280</v>
      </c>
      <c r="C100" s="76">
        <v>8228.64</v>
      </c>
      <c r="D100" s="108">
        <v>0</v>
      </c>
      <c r="E100" s="108">
        <v>15120.32</v>
      </c>
      <c r="F100" s="77">
        <v>0</v>
      </c>
      <c r="G100" s="338">
        <v>0</v>
      </c>
      <c r="H100" s="77">
        <v>0</v>
      </c>
      <c r="I100" s="77">
        <v>22605.83</v>
      </c>
      <c r="J100" s="8">
        <f>(K100-I100)/I100</f>
        <v>-1</v>
      </c>
      <c r="K100" s="77">
        <v>0</v>
      </c>
      <c r="L100" s="8" t="e">
        <f>(M100-K100)/K100</f>
        <v>#DIV/0!</v>
      </c>
      <c r="M100" s="77">
        <v>28055.81</v>
      </c>
      <c r="N100" s="8">
        <f>(O100-M100)/M100</f>
        <v>-1</v>
      </c>
      <c r="O100" s="77">
        <v>0</v>
      </c>
      <c r="P100" s="8" t="e">
        <f>(Q100-O100)/O100</f>
        <v>#DIV/0!</v>
      </c>
      <c r="Q100" s="77">
        <v>28823.79</v>
      </c>
      <c r="R100" s="8">
        <f t="shared" si="102"/>
        <v>-0.43778628695254862</v>
      </c>
      <c r="S100" s="77">
        <v>16205.13</v>
      </c>
      <c r="T100" s="8">
        <f t="shared" si="103"/>
        <v>-1</v>
      </c>
      <c r="U100" s="629">
        <v>0</v>
      </c>
      <c r="V100" s="8" t="e">
        <f t="shared" si="104"/>
        <v>#DIV/0!</v>
      </c>
      <c r="W100" s="77">
        <v>7000</v>
      </c>
      <c r="X100" s="8">
        <f t="shared" si="85"/>
        <v>0</v>
      </c>
      <c r="Y100" s="77">
        <v>7000</v>
      </c>
      <c r="Z100" s="8">
        <f t="shared" si="94"/>
        <v>0</v>
      </c>
      <c r="AA100" s="77">
        <v>7000</v>
      </c>
      <c r="AB100" s="8">
        <f t="shared" si="95"/>
        <v>0</v>
      </c>
      <c r="AC100" s="77">
        <v>7000</v>
      </c>
      <c r="AD100" s="711" t="s">
        <v>499</v>
      </c>
      <c r="AE100" s="767"/>
      <c r="AF100" s="767"/>
      <c r="AG100" s="767"/>
      <c r="AH100" s="768"/>
      <c r="AI100" s="791"/>
      <c r="AJ100" s="835"/>
      <c r="AK100" s="835"/>
      <c r="AL100" s="835"/>
    </row>
    <row r="101" spans="1:41" ht="404.25" customHeight="1" x14ac:dyDescent="0.25">
      <c r="A101" s="4">
        <v>5087</v>
      </c>
      <c r="B101" s="5" t="s">
        <v>89</v>
      </c>
      <c r="C101" s="75">
        <v>23793.279999999999</v>
      </c>
      <c r="D101" s="77">
        <v>21555.33</v>
      </c>
      <c r="E101" s="77">
        <v>21262.47</v>
      </c>
      <c r="F101" s="77">
        <v>21241.23</v>
      </c>
      <c r="G101" s="338">
        <v>25510.22</v>
      </c>
      <c r="H101" s="77">
        <v>23205.14</v>
      </c>
      <c r="I101" s="77">
        <v>24401.43</v>
      </c>
      <c r="J101" s="8">
        <f>(K101-I101)/I101</f>
        <v>-0.64295084345466635</v>
      </c>
      <c r="K101" s="77">
        <v>8712.51</v>
      </c>
      <c r="L101" s="8">
        <f>(M101-K101)/K101</f>
        <v>-1.1477748662805872E-6</v>
      </c>
      <c r="M101" s="77">
        <v>8712.5</v>
      </c>
      <c r="N101" s="8">
        <f>(O101-M101)/M101</f>
        <v>1.9746203730272598</v>
      </c>
      <c r="O101" s="77">
        <v>25916.38</v>
      </c>
      <c r="P101" s="8">
        <f>(Q101-O101)/O101</f>
        <v>-0.86490320021546219</v>
      </c>
      <c r="Q101" s="77">
        <v>3501.22</v>
      </c>
      <c r="R101" s="8">
        <v>0.05</v>
      </c>
      <c r="S101" s="77">
        <v>21873.23</v>
      </c>
      <c r="T101" s="8">
        <f t="shared" si="103"/>
        <v>5.7956689524135407E-3</v>
      </c>
      <c r="U101" s="521">
        <v>22000</v>
      </c>
      <c r="V101" s="8">
        <f t="shared" si="104"/>
        <v>0.18181818181818182</v>
      </c>
      <c r="W101" s="77">
        <v>26000</v>
      </c>
      <c r="X101" s="8">
        <f t="shared" si="85"/>
        <v>0</v>
      </c>
      <c r="Y101" s="77">
        <v>26000</v>
      </c>
      <c r="Z101" s="8">
        <f t="shared" si="94"/>
        <v>0</v>
      </c>
      <c r="AA101" s="77">
        <v>26000</v>
      </c>
      <c r="AB101" s="8">
        <f t="shared" si="95"/>
        <v>0</v>
      </c>
      <c r="AC101" s="77">
        <v>26000</v>
      </c>
      <c r="AD101" s="711" t="s">
        <v>471</v>
      </c>
      <c r="AE101" s="767"/>
      <c r="AF101" s="767"/>
      <c r="AG101" s="767"/>
      <c r="AH101" s="768"/>
      <c r="AI101" s="791"/>
      <c r="AJ101" s="807"/>
      <c r="AK101" s="807"/>
      <c r="AL101" s="807"/>
      <c r="AM101" s="37"/>
    </row>
    <row r="102" spans="1:41" ht="33" customHeight="1" x14ac:dyDescent="0.25">
      <c r="A102" s="2">
        <v>5088</v>
      </c>
      <c r="B102" s="3" t="s">
        <v>90</v>
      </c>
      <c r="C102" s="75">
        <v>651.05999999999995</v>
      </c>
      <c r="D102" s="77">
        <v>0</v>
      </c>
      <c r="E102" s="77">
        <v>422.8</v>
      </c>
      <c r="F102" s="77">
        <v>240</v>
      </c>
      <c r="G102" s="338">
        <v>0</v>
      </c>
      <c r="H102" s="77">
        <v>0</v>
      </c>
      <c r="I102" s="77">
        <v>0</v>
      </c>
      <c r="J102" s="8" t="e">
        <f>(K102-I102)/I102</f>
        <v>#DIV/0!</v>
      </c>
      <c r="K102" s="77">
        <v>0</v>
      </c>
      <c r="L102" s="8" t="e">
        <f>(M102-K102)/K102</f>
        <v>#DIV/0!</v>
      </c>
      <c r="M102" s="77">
        <v>0</v>
      </c>
      <c r="N102" s="8" t="e">
        <f>(O102-M102)/M102</f>
        <v>#DIV/0!</v>
      </c>
      <c r="O102" s="77">
        <v>0</v>
      </c>
      <c r="P102" s="8" t="e">
        <f>(Q102-O102)/O102</f>
        <v>#DIV/0!</v>
      </c>
      <c r="Q102" s="77">
        <v>0</v>
      </c>
      <c r="R102" s="8" t="e">
        <f t="shared" si="102"/>
        <v>#DIV/0!</v>
      </c>
      <c r="S102" s="77">
        <v>0</v>
      </c>
      <c r="T102" s="8" t="e">
        <f t="shared" si="103"/>
        <v>#DIV/0!</v>
      </c>
      <c r="U102" s="521">
        <v>0</v>
      </c>
      <c r="V102" s="8" t="e">
        <f t="shared" si="104"/>
        <v>#DIV/0!</v>
      </c>
      <c r="W102" s="77">
        <v>0</v>
      </c>
      <c r="X102" s="8" t="e">
        <f t="shared" si="85"/>
        <v>#DIV/0!</v>
      </c>
      <c r="Y102" s="77">
        <v>0</v>
      </c>
      <c r="Z102" s="8" t="e">
        <f t="shared" si="94"/>
        <v>#DIV/0!</v>
      </c>
      <c r="AA102" s="77">
        <v>0</v>
      </c>
      <c r="AB102" s="8" t="e">
        <f t="shared" si="95"/>
        <v>#DIV/0!</v>
      </c>
      <c r="AC102" s="77">
        <v>0</v>
      </c>
      <c r="AD102" s="723" t="s">
        <v>217</v>
      </c>
      <c r="AE102" s="724"/>
      <c r="AF102" s="724"/>
      <c r="AG102" s="724"/>
      <c r="AH102" s="725"/>
      <c r="AI102" s="132"/>
      <c r="AJ102" s="37"/>
      <c r="AK102" s="37"/>
      <c r="AL102" s="37"/>
      <c r="AM102" s="37"/>
    </row>
    <row r="103" spans="1:41" ht="37.9" customHeight="1" x14ac:dyDescent="0.25">
      <c r="A103" s="2">
        <v>5089</v>
      </c>
      <c r="B103" s="3" t="s">
        <v>201</v>
      </c>
      <c r="C103" s="76">
        <v>0</v>
      </c>
      <c r="D103" s="108">
        <v>150</v>
      </c>
      <c r="E103" s="108">
        <v>0</v>
      </c>
      <c r="F103" s="108">
        <v>0</v>
      </c>
      <c r="G103" s="338">
        <v>0</v>
      </c>
      <c r="H103" s="77">
        <v>0</v>
      </c>
      <c r="I103" s="77">
        <v>0</v>
      </c>
      <c r="J103" s="54" t="e">
        <f t="shared" ref="J103:J104" si="105">(K103-I103)/I103</f>
        <v>#DIV/0!</v>
      </c>
      <c r="K103" s="77">
        <v>0</v>
      </c>
      <c r="L103" s="54" t="e">
        <f t="shared" ref="L103:L104" si="106">(M103-K103)/K103</f>
        <v>#DIV/0!</v>
      </c>
      <c r="M103" s="77">
        <v>0</v>
      </c>
      <c r="N103" s="54" t="e">
        <f t="shared" ref="N103:N104" si="107">(O103-M103)/M103</f>
        <v>#DIV/0!</v>
      </c>
      <c r="O103" s="77">
        <v>0</v>
      </c>
      <c r="P103" s="54" t="e">
        <f t="shared" ref="P103:P104" si="108">(Q103-O103)/O103</f>
        <v>#DIV/0!</v>
      </c>
      <c r="Q103" s="77">
        <v>0</v>
      </c>
      <c r="R103" s="54" t="e">
        <f t="shared" si="102"/>
        <v>#DIV/0!</v>
      </c>
      <c r="S103" s="77">
        <v>0</v>
      </c>
      <c r="T103" s="54" t="e">
        <f t="shared" si="103"/>
        <v>#DIV/0!</v>
      </c>
      <c r="U103" s="521">
        <v>0</v>
      </c>
      <c r="V103" s="54" t="e">
        <f t="shared" si="104"/>
        <v>#DIV/0!</v>
      </c>
      <c r="W103" s="75">
        <v>0</v>
      </c>
      <c r="X103" s="54" t="e">
        <f t="shared" si="85"/>
        <v>#DIV/0!</v>
      </c>
      <c r="Y103" s="75">
        <v>0</v>
      </c>
      <c r="Z103" s="54" t="e">
        <f t="shared" si="94"/>
        <v>#DIV/0!</v>
      </c>
      <c r="AA103" s="75">
        <v>0</v>
      </c>
      <c r="AB103" s="54" t="e">
        <f t="shared" si="95"/>
        <v>#DIV/0!</v>
      </c>
      <c r="AC103" s="75">
        <v>0</v>
      </c>
      <c r="AD103" s="852" t="s">
        <v>200</v>
      </c>
      <c r="AE103" s="735"/>
      <c r="AF103" s="735"/>
      <c r="AG103" s="735"/>
      <c r="AH103" s="736"/>
      <c r="AJ103" s="37"/>
      <c r="AK103" s="37"/>
      <c r="AL103" s="37"/>
      <c r="AM103" s="37"/>
    </row>
    <row r="104" spans="1:41" ht="27.6" customHeight="1" x14ac:dyDescent="0.25">
      <c r="A104" s="2">
        <v>5090</v>
      </c>
      <c r="B104" s="3" t="s">
        <v>92</v>
      </c>
      <c r="C104" s="76">
        <v>0</v>
      </c>
      <c r="D104" s="108">
        <v>0</v>
      </c>
      <c r="E104" s="108">
        <v>0</v>
      </c>
      <c r="F104" s="108">
        <v>0</v>
      </c>
      <c r="G104" s="338">
        <v>0</v>
      </c>
      <c r="H104" s="77">
        <v>0</v>
      </c>
      <c r="I104" s="77">
        <v>0</v>
      </c>
      <c r="J104" s="54" t="e">
        <f t="shared" si="105"/>
        <v>#DIV/0!</v>
      </c>
      <c r="K104" s="77">
        <v>0</v>
      </c>
      <c r="L104" s="54" t="e">
        <f t="shared" si="106"/>
        <v>#DIV/0!</v>
      </c>
      <c r="M104" s="77">
        <v>0</v>
      </c>
      <c r="N104" s="54" t="e">
        <f t="shared" si="107"/>
        <v>#DIV/0!</v>
      </c>
      <c r="O104" s="77">
        <v>0</v>
      </c>
      <c r="P104" s="54" t="e">
        <f t="shared" si="108"/>
        <v>#DIV/0!</v>
      </c>
      <c r="Q104" s="77">
        <v>0</v>
      </c>
      <c r="R104" s="54" t="e">
        <f t="shared" si="102"/>
        <v>#DIV/0!</v>
      </c>
      <c r="S104" s="77">
        <v>0</v>
      </c>
      <c r="T104" s="54" t="e">
        <f t="shared" si="103"/>
        <v>#DIV/0!</v>
      </c>
      <c r="U104" s="521">
        <v>0</v>
      </c>
      <c r="V104" s="54" t="e">
        <f t="shared" si="104"/>
        <v>#DIV/0!</v>
      </c>
      <c r="W104" s="75">
        <v>0</v>
      </c>
      <c r="X104" s="54" t="e">
        <f t="shared" si="85"/>
        <v>#DIV/0!</v>
      </c>
      <c r="Y104" s="75">
        <v>0</v>
      </c>
      <c r="Z104" s="54" t="e">
        <f t="shared" si="94"/>
        <v>#DIV/0!</v>
      </c>
      <c r="AA104" s="75">
        <v>0</v>
      </c>
      <c r="AB104" s="54" t="e">
        <f t="shared" si="95"/>
        <v>#DIV/0!</v>
      </c>
      <c r="AC104" s="75">
        <v>0</v>
      </c>
      <c r="AD104" s="852" t="s">
        <v>91</v>
      </c>
      <c r="AE104" s="735"/>
      <c r="AF104" s="735"/>
      <c r="AG104" s="735"/>
      <c r="AH104" s="736"/>
      <c r="AJ104" s="37"/>
      <c r="AK104" s="37"/>
      <c r="AL104" s="37"/>
      <c r="AM104" s="37"/>
    </row>
    <row r="105" spans="1:41" ht="42.75" customHeight="1" thickBot="1" x14ac:dyDescent="0.3">
      <c r="A105" s="2">
        <v>5091</v>
      </c>
      <c r="B105" s="18" t="s">
        <v>143</v>
      </c>
      <c r="C105" s="76">
        <v>588</v>
      </c>
      <c r="D105" s="108">
        <v>425.38</v>
      </c>
      <c r="E105" s="108">
        <v>612.04999999999995</v>
      </c>
      <c r="F105" s="108">
        <v>540</v>
      </c>
      <c r="G105" s="338">
        <v>580</v>
      </c>
      <c r="H105" s="77">
        <v>220</v>
      </c>
      <c r="I105" s="77">
        <v>200</v>
      </c>
      <c r="J105" s="8">
        <f>(K105-I105)/I105</f>
        <v>-0.8</v>
      </c>
      <c r="K105" s="77">
        <v>40</v>
      </c>
      <c r="L105" s="8">
        <f>(M105-K105)/K105</f>
        <v>1.5</v>
      </c>
      <c r="M105" s="77">
        <v>100</v>
      </c>
      <c r="N105" s="8">
        <f>(O105-M105)/M105</f>
        <v>1.2</v>
      </c>
      <c r="O105" s="77">
        <v>220</v>
      </c>
      <c r="P105" s="8">
        <f>(Q105-O105)/O105</f>
        <v>0.54545454545454541</v>
      </c>
      <c r="Q105" s="77">
        <v>340</v>
      </c>
      <c r="R105" s="8">
        <f t="shared" si="102"/>
        <v>-5.8823529411764705E-2</v>
      </c>
      <c r="S105" s="77">
        <v>320</v>
      </c>
      <c r="T105" s="8">
        <f t="shared" si="103"/>
        <v>0.5625</v>
      </c>
      <c r="U105" s="521">
        <v>500</v>
      </c>
      <c r="V105" s="8">
        <f t="shared" si="104"/>
        <v>0</v>
      </c>
      <c r="W105" s="77">
        <v>500</v>
      </c>
      <c r="X105" s="8">
        <f t="shared" si="85"/>
        <v>0</v>
      </c>
      <c r="Y105" s="77">
        <v>500</v>
      </c>
      <c r="Z105" s="8">
        <f t="shared" si="94"/>
        <v>0</v>
      </c>
      <c r="AA105" s="77">
        <v>500</v>
      </c>
      <c r="AB105" s="8">
        <f t="shared" si="95"/>
        <v>0</v>
      </c>
      <c r="AC105" s="77">
        <v>500</v>
      </c>
      <c r="AD105" s="723" t="s">
        <v>275</v>
      </c>
      <c r="AE105" s="724"/>
      <c r="AF105" s="724"/>
      <c r="AG105" s="724"/>
      <c r="AH105" s="725"/>
      <c r="AI105" s="791"/>
      <c r="AJ105" s="792"/>
      <c r="AK105" s="792"/>
      <c r="AL105" s="792"/>
      <c r="AM105" s="37"/>
    </row>
    <row r="106" spans="1:41" ht="72" customHeight="1" thickTop="1" thickBot="1" x14ac:dyDescent="0.3">
      <c r="A106" s="55">
        <v>5092</v>
      </c>
      <c r="B106" s="56" t="s">
        <v>104</v>
      </c>
      <c r="C106" s="85">
        <v>1648</v>
      </c>
      <c r="D106" s="111">
        <v>2000</v>
      </c>
      <c r="E106" s="108">
        <v>1000</v>
      </c>
      <c r="F106" s="108">
        <v>0</v>
      </c>
      <c r="G106" s="338">
        <v>1000</v>
      </c>
      <c r="H106" s="77">
        <v>0</v>
      </c>
      <c r="I106" s="77">
        <v>1000</v>
      </c>
      <c r="J106" s="54">
        <f t="shared" ref="J106" si="109">(K106-I106)/I106</f>
        <v>0</v>
      </c>
      <c r="K106" s="77">
        <v>1000</v>
      </c>
      <c r="L106" s="54">
        <f t="shared" ref="L106" si="110">(M106-K106)/K106</f>
        <v>-0.5</v>
      </c>
      <c r="M106" s="77">
        <v>500</v>
      </c>
      <c r="N106" s="54">
        <f t="shared" ref="N106" si="111">(O106-M106)/M106</f>
        <v>0</v>
      </c>
      <c r="O106" s="77">
        <v>500</v>
      </c>
      <c r="P106" s="54">
        <f t="shared" ref="P106" si="112">(Q106-O106)/O106</f>
        <v>0</v>
      </c>
      <c r="Q106" s="77">
        <v>500</v>
      </c>
      <c r="R106" s="54">
        <f t="shared" si="102"/>
        <v>1</v>
      </c>
      <c r="S106" s="77">
        <v>1000</v>
      </c>
      <c r="T106" s="54">
        <f t="shared" si="103"/>
        <v>-1</v>
      </c>
      <c r="U106" s="521">
        <v>0</v>
      </c>
      <c r="V106" s="54" t="e">
        <f t="shared" si="104"/>
        <v>#DIV/0!</v>
      </c>
      <c r="W106" s="75">
        <v>0</v>
      </c>
      <c r="X106" s="54" t="e">
        <f t="shared" si="85"/>
        <v>#DIV/0!</v>
      </c>
      <c r="Y106" s="75">
        <v>0</v>
      </c>
      <c r="Z106" s="54" t="e">
        <f t="shared" si="94"/>
        <v>#DIV/0!</v>
      </c>
      <c r="AA106" s="75">
        <v>0</v>
      </c>
      <c r="AB106" s="54" t="e">
        <f t="shared" si="95"/>
        <v>#DIV/0!</v>
      </c>
      <c r="AC106" s="75">
        <v>0</v>
      </c>
      <c r="AD106" s="963" t="s">
        <v>419</v>
      </c>
      <c r="AE106" s="964"/>
      <c r="AF106" s="964"/>
      <c r="AG106" s="964"/>
      <c r="AH106" s="965"/>
      <c r="AI106" s="134"/>
      <c r="AJ106" s="37"/>
      <c r="AK106" s="314"/>
      <c r="AL106" s="315"/>
      <c r="AM106" s="315"/>
      <c r="AN106" s="315"/>
      <c r="AO106" s="315"/>
    </row>
    <row r="107" spans="1:41" ht="204.75" customHeight="1" thickTop="1" x14ac:dyDescent="0.25">
      <c r="A107" s="67">
        <v>5499</v>
      </c>
      <c r="B107" s="138" t="s">
        <v>130</v>
      </c>
      <c r="C107" s="114">
        <v>11748</v>
      </c>
      <c r="D107" s="114">
        <v>10222.74</v>
      </c>
      <c r="E107" s="114">
        <v>12025</v>
      </c>
      <c r="F107" s="114">
        <v>12775</v>
      </c>
      <c r="G107" s="351">
        <v>11500</v>
      </c>
      <c r="H107" s="378">
        <v>12050.34</v>
      </c>
      <c r="I107" s="378">
        <v>6124.98</v>
      </c>
      <c r="J107" s="58">
        <f>(K107-I107)/I107</f>
        <v>0.19184062641837207</v>
      </c>
      <c r="K107" s="114">
        <v>7300</v>
      </c>
      <c r="L107" s="58">
        <f>(M107-K107)/K107</f>
        <v>0.18493150684931506</v>
      </c>
      <c r="M107" s="114">
        <v>8650</v>
      </c>
      <c r="N107" s="58">
        <f>(O107-M107)/M107</f>
        <v>-0.26589595375722541</v>
      </c>
      <c r="O107" s="114">
        <v>6350</v>
      </c>
      <c r="P107" s="58">
        <f>(Q107-O107)/O107</f>
        <v>-1</v>
      </c>
      <c r="Q107" s="512">
        <v>0</v>
      </c>
      <c r="R107" s="513" t="e">
        <f t="shared" si="102"/>
        <v>#DIV/0!</v>
      </c>
      <c r="S107" s="522">
        <v>0</v>
      </c>
      <c r="T107" s="513" t="e">
        <f t="shared" si="103"/>
        <v>#DIV/0!</v>
      </c>
      <c r="U107" s="512">
        <v>0</v>
      </c>
      <c r="V107" s="513" t="e">
        <f t="shared" si="104"/>
        <v>#DIV/0!</v>
      </c>
      <c r="W107" s="512">
        <v>0</v>
      </c>
      <c r="X107" s="513" t="e">
        <f t="shared" si="85"/>
        <v>#DIV/0!</v>
      </c>
      <c r="Y107" s="512">
        <v>0</v>
      </c>
      <c r="Z107" s="513" t="e">
        <f t="shared" si="94"/>
        <v>#DIV/0!</v>
      </c>
      <c r="AA107" s="512">
        <v>0</v>
      </c>
      <c r="AB107" s="513" t="e">
        <f t="shared" si="95"/>
        <v>#DIV/0!</v>
      </c>
      <c r="AC107" s="512">
        <v>0</v>
      </c>
      <c r="AD107" s="1107" t="s">
        <v>323</v>
      </c>
      <c r="AE107" s="1108"/>
      <c r="AF107" s="1108"/>
      <c r="AG107" s="1108"/>
      <c r="AH107" s="1109"/>
      <c r="AI107" s="407"/>
      <c r="AJ107" s="289"/>
      <c r="AK107" s="159"/>
      <c r="AL107" s="37"/>
      <c r="AM107" s="37"/>
    </row>
    <row r="108" spans="1:41" ht="159" customHeight="1" x14ac:dyDescent="0.2">
      <c r="A108" s="1047">
        <v>5500</v>
      </c>
      <c r="B108" s="968" t="s">
        <v>202</v>
      </c>
      <c r="C108" s="334"/>
      <c r="D108" s="335"/>
      <c r="E108" s="971">
        <v>5279.15</v>
      </c>
      <c r="F108" s="971">
        <v>3942.7</v>
      </c>
      <c r="G108" s="778">
        <v>2767.48</v>
      </c>
      <c r="H108" s="754">
        <v>9209.14</v>
      </c>
      <c r="I108" s="754">
        <v>13642.4</v>
      </c>
      <c r="J108" s="752" t="e">
        <f>(K110-I110)/I110</f>
        <v>#DIV/0!</v>
      </c>
      <c r="K108" s="754">
        <v>5573.73</v>
      </c>
      <c r="L108" s="752">
        <f>SUM(M108-K108)/K108</f>
        <v>-0.71643226349320832</v>
      </c>
      <c r="M108" s="754">
        <v>1580.53</v>
      </c>
      <c r="N108" s="752">
        <f>SUM(O108-M108)/M108</f>
        <v>4.1258059005523462</v>
      </c>
      <c r="O108" s="754">
        <v>8101.49</v>
      </c>
      <c r="P108" s="752">
        <f>SUM(Q108-O108)/O108</f>
        <v>-4.0082750210146477E-2</v>
      </c>
      <c r="Q108" s="754">
        <v>7776.76</v>
      </c>
      <c r="R108" s="752">
        <f>SUM(S108-Q108)/Q108</f>
        <v>1.3149589289112691</v>
      </c>
      <c r="S108" s="754">
        <v>18002.88</v>
      </c>
      <c r="T108" s="752">
        <f>SUM(U108-S108)/S108</f>
        <v>0.89858511527044549</v>
      </c>
      <c r="U108" s="756">
        <v>34180</v>
      </c>
      <c r="V108" s="752">
        <f>SUM(W108-U108)/U108</f>
        <v>0</v>
      </c>
      <c r="W108" s="754">
        <v>34180</v>
      </c>
      <c r="X108" s="752">
        <f>SUM(Y108-W108)/W108</f>
        <v>0</v>
      </c>
      <c r="Y108" s="754">
        <v>34180</v>
      </c>
      <c r="Z108" s="752">
        <f>SUM(AA108-Y108)/Y108</f>
        <v>0</v>
      </c>
      <c r="AA108" s="754">
        <v>34180</v>
      </c>
      <c r="AB108" s="752">
        <f>SUM(AC108-AA108)/AA108</f>
        <v>0</v>
      </c>
      <c r="AC108" s="754">
        <v>34180</v>
      </c>
      <c r="AD108" s="1044" t="s">
        <v>430</v>
      </c>
      <c r="AE108" s="1045"/>
      <c r="AF108" s="1045"/>
      <c r="AG108" s="1045"/>
      <c r="AH108" s="1046"/>
      <c r="AI108" s="781"/>
      <c r="AL108" s="37"/>
      <c r="AM108" s="37"/>
    </row>
    <row r="109" spans="1:41" ht="69.75" customHeight="1" x14ac:dyDescent="0.2">
      <c r="A109" s="1048"/>
      <c r="B109" s="969"/>
      <c r="C109" s="1040">
        <v>21597.439999999999</v>
      </c>
      <c r="D109" s="164"/>
      <c r="E109" s="972"/>
      <c r="F109" s="972"/>
      <c r="G109" s="974"/>
      <c r="H109" s="967"/>
      <c r="I109" s="974"/>
      <c r="J109" s="1041"/>
      <c r="K109" s="1051"/>
      <c r="L109" s="1041"/>
      <c r="M109" s="974"/>
      <c r="N109" s="1041"/>
      <c r="O109" s="967"/>
      <c r="P109" s="1041"/>
      <c r="Q109" s="967"/>
      <c r="R109" s="1041"/>
      <c r="S109" s="1051"/>
      <c r="T109" s="1041"/>
      <c r="U109" s="1050"/>
      <c r="V109" s="1041"/>
      <c r="W109" s="974"/>
      <c r="X109" s="1041"/>
      <c r="Y109" s="974"/>
      <c r="Z109" s="1041"/>
      <c r="AA109" s="974"/>
      <c r="AB109" s="1041"/>
      <c r="AC109" s="974"/>
      <c r="AD109" s="1095" t="s">
        <v>431</v>
      </c>
      <c r="AE109" s="1096"/>
      <c r="AF109" s="1096"/>
      <c r="AG109" s="1096"/>
      <c r="AH109" s="1097"/>
      <c r="AI109" s="782"/>
      <c r="AL109" s="37"/>
      <c r="AM109" s="37"/>
    </row>
    <row r="110" spans="1:41" ht="62.25" customHeight="1" x14ac:dyDescent="0.2">
      <c r="A110" s="1049"/>
      <c r="B110" s="970"/>
      <c r="C110" s="1040"/>
      <c r="D110" s="334">
        <v>6814.42</v>
      </c>
      <c r="E110" s="973"/>
      <c r="F110" s="973"/>
      <c r="G110" s="975"/>
      <c r="H110" s="755"/>
      <c r="I110" s="975"/>
      <c r="J110" s="753"/>
      <c r="K110" s="1052"/>
      <c r="L110" s="753"/>
      <c r="M110" s="975"/>
      <c r="N110" s="753"/>
      <c r="O110" s="755"/>
      <c r="P110" s="753"/>
      <c r="Q110" s="755"/>
      <c r="R110" s="753"/>
      <c r="S110" s="1052"/>
      <c r="T110" s="753"/>
      <c r="U110" s="757"/>
      <c r="V110" s="753"/>
      <c r="W110" s="975"/>
      <c r="X110" s="753"/>
      <c r="Y110" s="975"/>
      <c r="Z110" s="753"/>
      <c r="AA110" s="975"/>
      <c r="AB110" s="753"/>
      <c r="AC110" s="975"/>
      <c r="AD110" s="1098"/>
      <c r="AE110" s="1099"/>
      <c r="AF110" s="1099"/>
      <c r="AG110" s="1099"/>
      <c r="AH110" s="1100"/>
      <c r="AI110" s="782"/>
      <c r="AL110" s="160"/>
      <c r="AM110" s="37"/>
    </row>
    <row r="111" spans="1:41" ht="40.9" customHeight="1" x14ac:dyDescent="0.25">
      <c r="A111" s="71" t="s">
        <v>190</v>
      </c>
      <c r="B111" s="5" t="s">
        <v>191</v>
      </c>
      <c r="C111" s="76"/>
      <c r="D111" s="76">
        <v>0</v>
      </c>
      <c r="E111" s="108">
        <v>0</v>
      </c>
      <c r="F111" s="108">
        <v>0</v>
      </c>
      <c r="G111" s="338">
        <v>0</v>
      </c>
      <c r="H111" s="77">
        <v>0</v>
      </c>
      <c r="I111" s="77">
        <v>0</v>
      </c>
      <c r="J111" s="54" t="e">
        <f t="shared" ref="J111" si="113">(K111-I111)/I111</f>
        <v>#DIV/0!</v>
      </c>
      <c r="K111" s="108">
        <v>0</v>
      </c>
      <c r="L111" s="54" t="e">
        <f t="shared" ref="L111:L113" si="114">(M111-K111)/K111</f>
        <v>#DIV/0!</v>
      </c>
      <c r="M111" s="108">
        <v>0</v>
      </c>
      <c r="N111" s="54" t="e">
        <f t="shared" ref="N111:N113" si="115">(O111-M111)/M111</f>
        <v>#DIV/0!</v>
      </c>
      <c r="O111" s="108">
        <v>0</v>
      </c>
      <c r="P111" s="54" t="e">
        <f t="shared" ref="P111:P120" si="116">(Q111-O111)/O111</f>
        <v>#DIV/0!</v>
      </c>
      <c r="Q111" s="108">
        <v>0</v>
      </c>
      <c r="R111" s="54" t="e">
        <f t="shared" ref="R111:R113" si="117">(S111-Q111)/Q111</f>
        <v>#DIV/0!</v>
      </c>
      <c r="S111" s="108">
        <v>0</v>
      </c>
      <c r="T111" s="54" t="e">
        <f t="shared" ref="T111:T113" si="118">(U111-S111)/S111</f>
        <v>#DIV/0!</v>
      </c>
      <c r="U111" s="547">
        <v>0</v>
      </c>
      <c r="V111" s="54" t="e">
        <f t="shared" ref="V111:V113" si="119">(W111-U111)/U111</f>
        <v>#DIV/0!</v>
      </c>
      <c r="W111" s="76">
        <v>0</v>
      </c>
      <c r="X111" s="54" t="e">
        <f t="shared" ref="X111:X122" si="120">(Y111-W111)/W111</f>
        <v>#DIV/0!</v>
      </c>
      <c r="Y111" s="76">
        <v>0</v>
      </c>
      <c r="Z111" s="54" t="e">
        <f t="shared" ref="Z111:Z122" si="121">(AA111-Y111)/Y111</f>
        <v>#DIV/0!</v>
      </c>
      <c r="AA111" s="76">
        <v>0</v>
      </c>
      <c r="AB111" s="54" t="e">
        <f t="shared" ref="AB111:AB122" si="122">(AC111-AA111)/AA111</f>
        <v>#DIV/0!</v>
      </c>
      <c r="AC111" s="76">
        <v>0</v>
      </c>
      <c r="AD111" s="956" t="s">
        <v>232</v>
      </c>
      <c r="AE111" s="966"/>
      <c r="AF111" s="966"/>
      <c r="AG111" s="966"/>
      <c r="AH111" s="966"/>
      <c r="AI111" s="142"/>
      <c r="AJ111" s="37"/>
      <c r="AK111" s="37"/>
      <c r="AL111" s="37"/>
      <c r="AM111" s="37"/>
    </row>
    <row r="112" spans="1:41" ht="80.25" customHeight="1" x14ac:dyDescent="0.25">
      <c r="A112" s="64">
        <v>5504</v>
      </c>
      <c r="B112" s="26" t="s">
        <v>233</v>
      </c>
      <c r="C112" s="76">
        <v>0</v>
      </c>
      <c r="D112" s="108">
        <v>2400</v>
      </c>
      <c r="E112" s="108">
        <v>0</v>
      </c>
      <c r="F112" s="108">
        <v>0</v>
      </c>
      <c r="G112" s="338">
        <v>861.52</v>
      </c>
      <c r="H112" s="77">
        <v>0</v>
      </c>
      <c r="I112" s="77">
        <v>462.42</v>
      </c>
      <c r="J112" s="61">
        <f t="shared" ref="J112:J113" si="123">(K112-I112)/I112</f>
        <v>-1</v>
      </c>
      <c r="K112" s="108">
        <v>0</v>
      </c>
      <c r="L112" s="61" t="e">
        <f t="shared" si="114"/>
        <v>#DIV/0!</v>
      </c>
      <c r="M112" s="108">
        <v>0</v>
      </c>
      <c r="N112" s="61" t="e">
        <f t="shared" si="115"/>
        <v>#DIV/0!</v>
      </c>
      <c r="O112" s="108">
        <v>0</v>
      </c>
      <c r="P112" s="61" t="e">
        <f t="shared" si="116"/>
        <v>#DIV/0!</v>
      </c>
      <c r="Q112" s="108">
        <v>0</v>
      </c>
      <c r="R112" s="61" t="e">
        <f t="shared" si="117"/>
        <v>#DIV/0!</v>
      </c>
      <c r="S112" s="108">
        <v>0</v>
      </c>
      <c r="T112" s="61" t="e">
        <f t="shared" si="118"/>
        <v>#DIV/0!</v>
      </c>
      <c r="U112" s="547">
        <v>1076.06</v>
      </c>
      <c r="V112" s="61">
        <f t="shared" si="119"/>
        <v>-1</v>
      </c>
      <c r="W112" s="76">
        <v>0</v>
      </c>
      <c r="X112" s="61" t="e">
        <f t="shared" si="120"/>
        <v>#DIV/0!</v>
      </c>
      <c r="Y112" s="76">
        <v>0</v>
      </c>
      <c r="Z112" s="61" t="e">
        <f t="shared" si="121"/>
        <v>#DIV/0!</v>
      </c>
      <c r="AA112" s="76">
        <v>0</v>
      </c>
      <c r="AB112" s="61" t="e">
        <f t="shared" si="122"/>
        <v>#DIV/0!</v>
      </c>
      <c r="AC112" s="76">
        <v>0</v>
      </c>
      <c r="AD112" s="676" t="s">
        <v>438</v>
      </c>
      <c r="AE112" s="706"/>
      <c r="AF112" s="706"/>
      <c r="AG112" s="706"/>
      <c r="AH112" s="956"/>
      <c r="AI112" s="783"/>
      <c r="AJ112" s="784"/>
      <c r="AK112" s="784"/>
      <c r="AL112" s="37"/>
      <c r="AM112" s="37"/>
    </row>
    <row r="113" spans="1:39" ht="108" customHeight="1" x14ac:dyDescent="0.25">
      <c r="A113" s="333">
        <v>5506</v>
      </c>
      <c r="B113" s="53" t="s">
        <v>199</v>
      </c>
      <c r="C113" s="99">
        <v>0</v>
      </c>
      <c r="D113" s="119">
        <v>0</v>
      </c>
      <c r="E113" s="119">
        <v>172.08</v>
      </c>
      <c r="F113" s="119">
        <v>122.92</v>
      </c>
      <c r="G113" s="338">
        <v>1058.52</v>
      </c>
      <c r="H113" s="111">
        <v>0</v>
      </c>
      <c r="I113" s="119">
        <v>0</v>
      </c>
      <c r="J113" s="62" t="e">
        <f t="shared" si="123"/>
        <v>#DIV/0!</v>
      </c>
      <c r="K113" s="119">
        <v>0</v>
      </c>
      <c r="L113" s="62" t="e">
        <f t="shared" si="114"/>
        <v>#DIV/0!</v>
      </c>
      <c r="M113" s="119">
        <v>0</v>
      </c>
      <c r="N113" s="62" t="e">
        <f t="shared" si="115"/>
        <v>#DIV/0!</v>
      </c>
      <c r="O113" s="119">
        <v>0</v>
      </c>
      <c r="P113" s="62" t="e">
        <f t="shared" si="116"/>
        <v>#DIV/0!</v>
      </c>
      <c r="Q113" s="119">
        <v>0</v>
      </c>
      <c r="R113" s="62" t="e">
        <f t="shared" si="117"/>
        <v>#DIV/0!</v>
      </c>
      <c r="S113" s="119">
        <v>0</v>
      </c>
      <c r="T113" s="62" t="e">
        <f t="shared" si="118"/>
        <v>#DIV/0!</v>
      </c>
      <c r="U113" s="550">
        <v>10459</v>
      </c>
      <c r="V113" s="62">
        <f t="shared" si="119"/>
        <v>-1</v>
      </c>
      <c r="W113" s="99">
        <v>0</v>
      </c>
      <c r="X113" s="62" t="e">
        <f t="shared" si="120"/>
        <v>#DIV/0!</v>
      </c>
      <c r="Y113" s="99">
        <v>0</v>
      </c>
      <c r="Z113" s="62" t="e">
        <f t="shared" si="121"/>
        <v>#DIV/0!</v>
      </c>
      <c r="AA113" s="99">
        <v>0</v>
      </c>
      <c r="AB113" s="62" t="e">
        <f t="shared" si="122"/>
        <v>#DIV/0!</v>
      </c>
      <c r="AC113" s="99">
        <v>0</v>
      </c>
      <c r="AD113" s="706" t="s">
        <v>439</v>
      </c>
      <c r="AE113" s="706"/>
      <c r="AF113" s="706"/>
      <c r="AG113" s="706"/>
      <c r="AH113" s="706"/>
      <c r="AI113" s="783"/>
      <c r="AJ113" s="784"/>
      <c r="AK113" s="784"/>
      <c r="AL113" s="37"/>
      <c r="AM113" s="37"/>
    </row>
    <row r="114" spans="1:39" ht="211.5" customHeight="1" x14ac:dyDescent="0.25">
      <c r="A114" s="371">
        <v>5512</v>
      </c>
      <c r="B114" s="53" t="s">
        <v>314</v>
      </c>
      <c r="C114" s="99"/>
      <c r="D114" s="119"/>
      <c r="E114" s="119"/>
      <c r="F114" s="119"/>
      <c r="G114" s="372"/>
      <c r="H114" s="379"/>
      <c r="I114" s="111">
        <v>3117.84</v>
      </c>
      <c r="J114" s="60"/>
      <c r="K114" s="111">
        <v>760.86</v>
      </c>
      <c r="L114" s="60"/>
      <c r="M114" s="111">
        <v>4029.12</v>
      </c>
      <c r="N114" s="60"/>
      <c r="O114" s="119">
        <v>6121.46</v>
      </c>
      <c r="P114" s="60">
        <f t="shared" si="116"/>
        <v>-9.2855299226001622E-2</v>
      </c>
      <c r="Q114" s="119">
        <v>5553.05</v>
      </c>
      <c r="R114" s="60">
        <f t="shared" ref="R114:R122" si="124">(S114-Q114)/Q114</f>
        <v>3.6732966567922055E-2</v>
      </c>
      <c r="S114" s="119">
        <v>5757.03</v>
      </c>
      <c r="T114" s="60">
        <f t="shared" ref="T114:T122" si="125">(U114-S114)/S114</f>
        <v>5.5700682469954135</v>
      </c>
      <c r="U114" s="550">
        <v>37824.080000000002</v>
      </c>
      <c r="V114" s="60">
        <f t="shared" ref="V114:V122" si="126">(W114-U114)/U114</f>
        <v>-0.6298654190663725</v>
      </c>
      <c r="W114" s="119">
        <v>14000</v>
      </c>
      <c r="X114" s="60">
        <f t="shared" si="120"/>
        <v>0</v>
      </c>
      <c r="Y114" s="119">
        <v>14000</v>
      </c>
      <c r="Z114" s="60">
        <f t="shared" si="121"/>
        <v>0</v>
      </c>
      <c r="AA114" s="119">
        <v>14000</v>
      </c>
      <c r="AB114" s="60">
        <f t="shared" si="122"/>
        <v>0</v>
      </c>
      <c r="AC114" s="119">
        <v>14000</v>
      </c>
      <c r="AD114" s="1000" t="s">
        <v>437</v>
      </c>
      <c r="AE114" s="1000"/>
      <c r="AF114" s="1000"/>
      <c r="AG114" s="1000"/>
      <c r="AH114" s="1000"/>
      <c r="AI114" s="784"/>
      <c r="AJ114" s="660"/>
      <c r="AK114" s="660"/>
      <c r="AL114" s="660"/>
      <c r="AM114" s="37"/>
    </row>
    <row r="115" spans="1:39" ht="57" customHeight="1" x14ac:dyDescent="0.25">
      <c r="A115" s="71">
        <v>5513</v>
      </c>
      <c r="B115" s="19" t="s">
        <v>308</v>
      </c>
      <c r="C115" s="99"/>
      <c r="D115" s="119"/>
      <c r="E115" s="119"/>
      <c r="F115" s="119"/>
      <c r="G115" s="372"/>
      <c r="H115" s="379"/>
      <c r="I115" s="379"/>
      <c r="J115" s="60"/>
      <c r="K115" s="111">
        <v>0</v>
      </c>
      <c r="L115" s="60"/>
      <c r="M115" s="111">
        <v>787.17</v>
      </c>
      <c r="N115" s="60"/>
      <c r="O115" s="119">
        <v>0</v>
      </c>
      <c r="P115" s="60" t="e">
        <f t="shared" si="116"/>
        <v>#DIV/0!</v>
      </c>
      <c r="Q115" s="119">
        <v>0</v>
      </c>
      <c r="R115" s="60" t="e">
        <f t="shared" si="124"/>
        <v>#DIV/0!</v>
      </c>
      <c r="S115" s="119">
        <v>0</v>
      </c>
      <c r="T115" s="60" t="e">
        <f t="shared" si="125"/>
        <v>#DIV/0!</v>
      </c>
      <c r="U115" s="550">
        <v>172.83</v>
      </c>
      <c r="V115" s="60">
        <f t="shared" si="126"/>
        <v>-1</v>
      </c>
      <c r="W115" s="99">
        <v>0</v>
      </c>
      <c r="X115" s="60" t="e">
        <f t="shared" si="120"/>
        <v>#DIV/0!</v>
      </c>
      <c r="Y115" s="99">
        <v>0</v>
      </c>
      <c r="Z115" s="60" t="e">
        <f t="shared" si="121"/>
        <v>#DIV/0!</v>
      </c>
      <c r="AA115" s="99">
        <v>0</v>
      </c>
      <c r="AB115" s="60" t="e">
        <f t="shared" si="122"/>
        <v>#DIV/0!</v>
      </c>
      <c r="AC115" s="99">
        <v>0</v>
      </c>
      <c r="AD115" s="999" t="s">
        <v>436</v>
      </c>
      <c r="AE115" s="999"/>
      <c r="AF115" s="999"/>
      <c r="AG115" s="999"/>
      <c r="AH115" s="999"/>
      <c r="AI115" s="784"/>
      <c r="AJ115" s="660"/>
      <c r="AK115" s="660"/>
      <c r="AL115" s="660"/>
      <c r="AM115" s="37"/>
    </row>
    <row r="116" spans="1:39" ht="62.25" customHeight="1" x14ac:dyDescent="0.25">
      <c r="A116" s="71">
        <v>5514</v>
      </c>
      <c r="B116" s="19" t="s">
        <v>308</v>
      </c>
      <c r="C116" s="99"/>
      <c r="D116" s="119"/>
      <c r="E116" s="119"/>
      <c r="F116" s="119"/>
      <c r="G116" s="372"/>
      <c r="H116" s="379"/>
      <c r="I116" s="379"/>
      <c r="J116" s="60"/>
      <c r="K116" s="111">
        <v>0</v>
      </c>
      <c r="L116" s="60"/>
      <c r="M116" s="111">
        <v>893.47</v>
      </c>
      <c r="N116" s="60"/>
      <c r="O116" s="119">
        <v>0</v>
      </c>
      <c r="P116" s="60" t="e">
        <f t="shared" si="116"/>
        <v>#DIV/0!</v>
      </c>
      <c r="Q116" s="119">
        <v>0</v>
      </c>
      <c r="R116" s="60" t="e">
        <f t="shared" si="124"/>
        <v>#DIV/0!</v>
      </c>
      <c r="S116" s="119">
        <v>0</v>
      </c>
      <c r="T116" s="60" t="e">
        <f t="shared" si="125"/>
        <v>#DIV/0!</v>
      </c>
      <c r="U116" s="550">
        <v>66.53</v>
      </c>
      <c r="V116" s="60">
        <f t="shared" si="126"/>
        <v>-1</v>
      </c>
      <c r="W116" s="99">
        <v>0</v>
      </c>
      <c r="X116" s="60" t="e">
        <f t="shared" si="120"/>
        <v>#DIV/0!</v>
      </c>
      <c r="Y116" s="99">
        <v>0</v>
      </c>
      <c r="Z116" s="60" t="e">
        <f t="shared" si="121"/>
        <v>#DIV/0!</v>
      </c>
      <c r="AA116" s="99">
        <v>0</v>
      </c>
      <c r="AB116" s="60" t="e">
        <f t="shared" si="122"/>
        <v>#DIV/0!</v>
      </c>
      <c r="AC116" s="99">
        <v>0</v>
      </c>
      <c r="AD116" s="999" t="s">
        <v>435</v>
      </c>
      <c r="AE116" s="999"/>
      <c r="AF116" s="999"/>
      <c r="AG116" s="999"/>
      <c r="AH116" s="999"/>
      <c r="AI116" s="784"/>
      <c r="AJ116" s="660"/>
      <c r="AK116" s="660"/>
      <c r="AL116" s="660"/>
      <c r="AM116" s="37"/>
    </row>
    <row r="117" spans="1:39" ht="45" customHeight="1" x14ac:dyDescent="0.25">
      <c r="A117" s="71">
        <v>5515</v>
      </c>
      <c r="B117" s="19" t="s">
        <v>327</v>
      </c>
      <c r="C117" s="99"/>
      <c r="D117" s="108">
        <v>0</v>
      </c>
      <c r="E117" s="108">
        <v>0</v>
      </c>
      <c r="F117" s="77">
        <v>0</v>
      </c>
      <c r="G117" s="366">
        <v>0</v>
      </c>
      <c r="H117" s="364">
        <v>0</v>
      </c>
      <c r="I117" s="108">
        <v>0</v>
      </c>
      <c r="J117" s="8" t="e">
        <f t="shared" ref="J117:J118" si="127">(K117-I117)/I117</f>
        <v>#DIV/0!</v>
      </c>
      <c r="K117" s="108">
        <v>0</v>
      </c>
      <c r="L117" s="8" t="e">
        <f t="shared" ref="L117:L118" si="128">(M117-K117)/K117</f>
        <v>#DIV/0!</v>
      </c>
      <c r="M117" s="108">
        <v>0</v>
      </c>
      <c r="N117" s="8" t="e">
        <f t="shared" ref="N117:N118" si="129">(O117-M117)/M117</f>
        <v>#DIV/0!</v>
      </c>
      <c r="O117" s="108">
        <v>0</v>
      </c>
      <c r="P117" s="8" t="e">
        <f t="shared" si="116"/>
        <v>#DIV/0!</v>
      </c>
      <c r="Q117" s="108">
        <v>0</v>
      </c>
      <c r="R117" s="8" t="e">
        <f t="shared" si="124"/>
        <v>#DIV/0!</v>
      </c>
      <c r="S117" s="108">
        <v>0</v>
      </c>
      <c r="T117" s="8" t="e">
        <f t="shared" si="125"/>
        <v>#DIV/0!</v>
      </c>
      <c r="U117" s="547">
        <v>0</v>
      </c>
      <c r="V117" s="8" t="e">
        <f t="shared" si="126"/>
        <v>#DIV/0!</v>
      </c>
      <c r="W117" s="76">
        <v>0</v>
      </c>
      <c r="X117" s="8" t="e">
        <f t="shared" si="120"/>
        <v>#DIV/0!</v>
      </c>
      <c r="Y117" s="76">
        <v>0</v>
      </c>
      <c r="Z117" s="8" t="e">
        <f t="shared" si="121"/>
        <v>#DIV/0!</v>
      </c>
      <c r="AA117" s="76">
        <v>0</v>
      </c>
      <c r="AB117" s="8" t="e">
        <f t="shared" si="122"/>
        <v>#DIV/0!</v>
      </c>
      <c r="AC117" s="76">
        <v>0</v>
      </c>
      <c r="AD117" s="1001" t="s">
        <v>309</v>
      </c>
      <c r="AE117" s="999"/>
      <c r="AF117" s="999"/>
      <c r="AG117" s="999"/>
      <c r="AH117" s="999"/>
    </row>
    <row r="118" spans="1:39" ht="64.5" customHeight="1" x14ac:dyDescent="0.25">
      <c r="A118" s="71">
        <v>5516</v>
      </c>
      <c r="B118" s="19" t="s">
        <v>324</v>
      </c>
      <c r="C118" s="99"/>
      <c r="D118" s="108">
        <v>0</v>
      </c>
      <c r="E118" s="108">
        <v>0</v>
      </c>
      <c r="F118" s="77">
        <v>0</v>
      </c>
      <c r="G118" s="366">
        <v>0</v>
      </c>
      <c r="H118" s="117">
        <v>0</v>
      </c>
      <c r="I118" s="117">
        <v>0</v>
      </c>
      <c r="J118" s="68" t="e">
        <f t="shared" si="127"/>
        <v>#DIV/0!</v>
      </c>
      <c r="K118" s="117">
        <v>0</v>
      </c>
      <c r="L118" s="68" t="e">
        <f t="shared" si="128"/>
        <v>#DIV/0!</v>
      </c>
      <c r="M118" s="117">
        <v>0</v>
      </c>
      <c r="N118" s="68" t="e">
        <f t="shared" si="129"/>
        <v>#DIV/0!</v>
      </c>
      <c r="O118" s="117">
        <v>0</v>
      </c>
      <c r="P118" s="68" t="e">
        <f t="shared" si="116"/>
        <v>#DIV/0!</v>
      </c>
      <c r="Q118" s="108">
        <v>450</v>
      </c>
      <c r="R118" s="8">
        <f t="shared" si="124"/>
        <v>-1</v>
      </c>
      <c r="S118" s="108">
        <v>0</v>
      </c>
      <c r="T118" s="8" t="e">
        <f t="shared" si="125"/>
        <v>#DIV/0!</v>
      </c>
      <c r="U118" s="547">
        <v>0</v>
      </c>
      <c r="V118" s="8" t="e">
        <f t="shared" si="126"/>
        <v>#DIV/0!</v>
      </c>
      <c r="W118" s="76">
        <v>0</v>
      </c>
      <c r="X118" s="8" t="e">
        <f t="shared" si="120"/>
        <v>#DIV/0!</v>
      </c>
      <c r="Y118" s="76">
        <v>0</v>
      </c>
      <c r="Z118" s="8" t="e">
        <f t="shared" si="121"/>
        <v>#DIV/0!</v>
      </c>
      <c r="AA118" s="76">
        <v>0</v>
      </c>
      <c r="AB118" s="8" t="e">
        <f t="shared" si="122"/>
        <v>#DIV/0!</v>
      </c>
      <c r="AC118" s="76">
        <v>0</v>
      </c>
      <c r="AD118" s="1101" t="s">
        <v>334</v>
      </c>
      <c r="AE118" s="999"/>
      <c r="AF118" s="999"/>
      <c r="AG118" s="999"/>
      <c r="AH118" s="999"/>
    </row>
    <row r="119" spans="1:39" ht="45.75" customHeight="1" x14ac:dyDescent="0.25">
      <c r="A119" s="71">
        <v>5517</v>
      </c>
      <c r="B119" s="19" t="s">
        <v>394</v>
      </c>
      <c r="C119" s="99"/>
      <c r="D119" s="108">
        <v>0</v>
      </c>
      <c r="E119" s="108">
        <v>0</v>
      </c>
      <c r="F119" s="77">
        <v>0</v>
      </c>
      <c r="G119" s="366">
        <v>0</v>
      </c>
      <c r="H119" s="117">
        <v>0</v>
      </c>
      <c r="I119" s="117">
        <v>0</v>
      </c>
      <c r="J119" s="68" t="e">
        <f t="shared" ref="J119" si="130">(K119-I119)/I119</f>
        <v>#DIV/0!</v>
      </c>
      <c r="K119" s="117">
        <v>0</v>
      </c>
      <c r="L119" s="68" t="e">
        <f t="shared" ref="L119" si="131">(M119-K119)/K119</f>
        <v>#DIV/0!</v>
      </c>
      <c r="M119" s="117">
        <v>0</v>
      </c>
      <c r="N119" s="68" t="e">
        <f t="shared" ref="N119" si="132">(O119-M119)/M119</f>
        <v>#DIV/0!</v>
      </c>
      <c r="O119" s="117">
        <v>0</v>
      </c>
      <c r="P119" s="68" t="e">
        <f t="shared" ref="P119" si="133">(Q119-O119)/O119</f>
        <v>#DIV/0!</v>
      </c>
      <c r="Q119" s="117">
        <v>0</v>
      </c>
      <c r="R119" s="68" t="e">
        <f t="shared" si="124"/>
        <v>#DIV/0!</v>
      </c>
      <c r="S119" s="108">
        <v>0</v>
      </c>
      <c r="T119" s="8" t="e">
        <f t="shared" ref="T119" si="134">(U119-S119)/S119</f>
        <v>#DIV/0!</v>
      </c>
      <c r="U119" s="547">
        <v>22172.5</v>
      </c>
      <c r="V119" s="8">
        <f t="shared" ref="V119" si="135">(W119-U119)/U119</f>
        <v>-1</v>
      </c>
      <c r="W119" s="76">
        <v>0</v>
      </c>
      <c r="X119" s="8" t="e">
        <f t="shared" ref="X119" si="136">(Y119-W119)/W119</f>
        <v>#DIV/0!</v>
      </c>
      <c r="Y119" s="76">
        <v>0</v>
      </c>
      <c r="Z119" s="8" t="e">
        <f t="shared" si="121"/>
        <v>#DIV/0!</v>
      </c>
      <c r="AA119" s="76">
        <v>0</v>
      </c>
      <c r="AB119" s="8" t="e">
        <f t="shared" si="122"/>
        <v>#DIV/0!</v>
      </c>
      <c r="AC119" s="76">
        <v>0</v>
      </c>
      <c r="AD119" s="1001" t="s">
        <v>434</v>
      </c>
      <c r="AE119" s="999"/>
      <c r="AF119" s="999"/>
      <c r="AG119" s="999"/>
      <c r="AH119" s="999"/>
      <c r="AI119" s="610" t="s">
        <v>491</v>
      </c>
    </row>
    <row r="120" spans="1:39" ht="304.5" customHeight="1" thickBot="1" x14ac:dyDescent="0.3">
      <c r="A120" s="355">
        <v>5600</v>
      </c>
      <c r="B120" s="356" t="s">
        <v>270</v>
      </c>
      <c r="C120" s="98"/>
      <c r="D120" s="98"/>
      <c r="E120" s="141"/>
      <c r="F120" s="141"/>
      <c r="G120" s="365"/>
      <c r="H120" s="380"/>
      <c r="I120" s="421">
        <v>0</v>
      </c>
      <c r="J120" s="59" t="e">
        <f t="shared" ref="J120" si="137">(K120-I120)/I120</f>
        <v>#VALUE!</v>
      </c>
      <c r="K120" s="141" t="s">
        <v>261</v>
      </c>
      <c r="L120" s="59" t="e">
        <f t="shared" ref="L120" si="138">(M120-K120)/K120</f>
        <v>#VALUE!</v>
      </c>
      <c r="M120" s="141">
        <v>5003.32</v>
      </c>
      <c r="N120" s="59">
        <f t="shared" ref="N120" si="139">(O120-M120)/M120</f>
        <v>1.8941422895197676E-2</v>
      </c>
      <c r="O120" s="141">
        <v>5098.09</v>
      </c>
      <c r="P120" s="59">
        <f t="shared" si="116"/>
        <v>0.17608359209037103</v>
      </c>
      <c r="Q120" s="141">
        <v>5995.78</v>
      </c>
      <c r="R120" s="59">
        <f t="shared" si="124"/>
        <v>6.3459633275403812E-2</v>
      </c>
      <c r="S120" s="141">
        <v>6376.27</v>
      </c>
      <c r="T120" s="59">
        <f t="shared" si="125"/>
        <v>0.1409491756152107</v>
      </c>
      <c r="U120" s="631">
        <v>7275</v>
      </c>
      <c r="V120" s="59">
        <f t="shared" si="126"/>
        <v>3.367697594501718E-2</v>
      </c>
      <c r="W120" s="141">
        <v>7520</v>
      </c>
      <c r="X120" s="59">
        <f t="shared" si="120"/>
        <v>0</v>
      </c>
      <c r="Y120" s="141">
        <v>7520</v>
      </c>
      <c r="Z120" s="59">
        <f t="shared" si="121"/>
        <v>0</v>
      </c>
      <c r="AA120" s="141">
        <v>7520</v>
      </c>
      <c r="AB120" s="59">
        <f t="shared" si="122"/>
        <v>0</v>
      </c>
      <c r="AC120" s="141">
        <v>7520</v>
      </c>
      <c r="AD120" s="1042" t="s">
        <v>516</v>
      </c>
      <c r="AE120" s="966"/>
      <c r="AF120" s="966"/>
      <c r="AG120" s="966"/>
      <c r="AH120" s="1043"/>
      <c r="AI120" s="353"/>
      <c r="AJ120" s="37"/>
      <c r="AK120" s="37"/>
      <c r="AL120" s="37"/>
      <c r="AM120" s="37"/>
    </row>
    <row r="121" spans="1:39" ht="35.25" customHeight="1" thickTop="1" thickBot="1" x14ac:dyDescent="0.3">
      <c r="A121" s="1039" t="s">
        <v>283</v>
      </c>
      <c r="B121" s="1039"/>
      <c r="C121" s="86">
        <f>SUM(C107:C112)</f>
        <v>33345.440000000002</v>
      </c>
      <c r="D121" s="86">
        <f>SUM(D107:D113)</f>
        <v>19437.16</v>
      </c>
      <c r="E121" s="86">
        <f>SUM(E107:E113)</f>
        <v>17476.230000000003</v>
      </c>
      <c r="F121" s="86">
        <f>SUM(F107:F113)</f>
        <v>16840.62</v>
      </c>
      <c r="G121" s="327">
        <f>SUM(G107:G120)</f>
        <v>16187.52</v>
      </c>
      <c r="H121" s="86">
        <f>SUM(H107:H120)</f>
        <v>21259.48</v>
      </c>
      <c r="I121" s="86">
        <f>SUM(I107:I120)</f>
        <v>23347.639999999996</v>
      </c>
      <c r="J121" s="38">
        <f>(K121-I121)/I121</f>
        <v>-0.41601849266135665</v>
      </c>
      <c r="K121" s="86">
        <f>SUM(K107:K120)</f>
        <v>13634.59</v>
      </c>
      <c r="L121" s="38">
        <f>(M121-K121)/K121</f>
        <v>0.53606452412577132</v>
      </c>
      <c r="M121" s="86">
        <f>SUM(M107:M120)</f>
        <v>20943.61</v>
      </c>
      <c r="N121" s="38">
        <f>(O121-M121)/M121</f>
        <v>0.22572183114563346</v>
      </c>
      <c r="O121" s="86">
        <f>SUM(O107:O120)</f>
        <v>25671.040000000001</v>
      </c>
      <c r="P121" s="38">
        <f>(Q121-O121)/O121</f>
        <v>-0.22965372653386854</v>
      </c>
      <c r="Q121" s="86">
        <f>SUM(Q107:Q120)</f>
        <v>19775.59</v>
      </c>
      <c r="R121" s="38">
        <f t="shared" si="124"/>
        <v>0.5239080098242328</v>
      </c>
      <c r="S121" s="86">
        <f>SUM(S107:S120)</f>
        <v>30136.18</v>
      </c>
      <c r="T121" s="38">
        <f t="shared" si="125"/>
        <v>2.7571450661629977</v>
      </c>
      <c r="U121" s="86">
        <f>SUM(U107:U120)</f>
        <v>113226</v>
      </c>
      <c r="V121" s="38">
        <f t="shared" si="126"/>
        <v>-0.50806351897973967</v>
      </c>
      <c r="W121" s="86">
        <f>SUM(W107:W120)</f>
        <v>55700</v>
      </c>
      <c r="X121" s="38">
        <f t="shared" si="120"/>
        <v>0</v>
      </c>
      <c r="Y121" s="86">
        <f>SUM(Y107:Y120)</f>
        <v>55700</v>
      </c>
      <c r="Z121" s="38">
        <f t="shared" si="121"/>
        <v>0</v>
      </c>
      <c r="AA121" s="86">
        <f>SUM(AA107:AA120)</f>
        <v>55700</v>
      </c>
      <c r="AB121" s="38">
        <f t="shared" si="122"/>
        <v>0</v>
      </c>
      <c r="AC121" s="86">
        <f>SUM(AC107:AC120)</f>
        <v>55700</v>
      </c>
      <c r="AD121" s="953"/>
      <c r="AE121" s="954"/>
      <c r="AF121" s="954"/>
      <c r="AG121" s="954"/>
      <c r="AH121" s="955"/>
      <c r="AJ121" s="37"/>
      <c r="AK121" s="37"/>
      <c r="AL121" s="37"/>
      <c r="AM121" s="37"/>
    </row>
    <row r="122" spans="1:39" ht="115.5" customHeight="1" thickTop="1" x14ac:dyDescent="0.2">
      <c r="A122" s="14">
        <v>5997</v>
      </c>
      <c r="B122" s="57" t="s">
        <v>316</v>
      </c>
      <c r="C122" s="84">
        <v>1149.58</v>
      </c>
      <c r="D122" s="112">
        <v>1852.43</v>
      </c>
      <c r="E122" s="112">
        <v>2835</v>
      </c>
      <c r="F122" s="112">
        <v>2210.7399999999998</v>
      </c>
      <c r="G122" s="349">
        <v>1642.12</v>
      </c>
      <c r="H122" s="112">
        <v>1348.85</v>
      </c>
      <c r="I122" s="112">
        <v>2172.79</v>
      </c>
      <c r="J122" s="29">
        <f>(K122-I122)/I122</f>
        <v>-0.28615282655019586</v>
      </c>
      <c r="K122" s="112">
        <v>1551.04</v>
      </c>
      <c r="L122" s="29">
        <f>(M122-K122)/K122</f>
        <v>-0.22220574582215796</v>
      </c>
      <c r="M122" s="112">
        <v>1206.3900000000001</v>
      </c>
      <c r="N122" s="29">
        <f>(O122-M122)/M122</f>
        <v>3.109392485017282</v>
      </c>
      <c r="O122" s="112">
        <v>4957.53</v>
      </c>
      <c r="P122" s="29">
        <f>(Q122-O122)/O122</f>
        <v>-0.72750341399850327</v>
      </c>
      <c r="Q122" s="112">
        <v>1350.91</v>
      </c>
      <c r="R122" s="29">
        <f t="shared" si="124"/>
        <v>0.29931675685278802</v>
      </c>
      <c r="S122" s="112">
        <v>1755.26</v>
      </c>
      <c r="T122" s="29">
        <f t="shared" si="125"/>
        <v>1.4961544158700133</v>
      </c>
      <c r="U122" s="640">
        <v>4381.3999999999996</v>
      </c>
      <c r="V122" s="29">
        <f t="shared" si="126"/>
        <v>-0.37655543890080795</v>
      </c>
      <c r="W122" s="84">
        <v>2731.56</v>
      </c>
      <c r="X122" s="29">
        <f t="shared" si="120"/>
        <v>3.0000000000000061E-2</v>
      </c>
      <c r="Y122" s="84">
        <f>W122*1.03</f>
        <v>2813.5068000000001</v>
      </c>
      <c r="Z122" s="29">
        <f t="shared" si="121"/>
        <v>3.0000000000000047E-2</v>
      </c>
      <c r="AA122" s="84">
        <f>Y122*1.03</f>
        <v>2897.9120040000003</v>
      </c>
      <c r="AB122" s="29">
        <f t="shared" si="122"/>
        <v>2.9999999999999995E-2</v>
      </c>
      <c r="AC122" s="84">
        <f>AA122*1.03</f>
        <v>2984.8493641200002</v>
      </c>
      <c r="AD122" s="676" t="s">
        <v>521</v>
      </c>
      <c r="AE122" s="706"/>
      <c r="AF122" s="706"/>
      <c r="AG122" s="706"/>
      <c r="AH122" s="707"/>
      <c r="AI122" s="791"/>
      <c r="AJ122" s="660"/>
      <c r="AK122" s="660"/>
      <c r="AL122" s="660"/>
      <c r="AM122" s="37"/>
    </row>
    <row r="123" spans="1:39" ht="39.6" customHeight="1" x14ac:dyDescent="0.25">
      <c r="A123" s="358">
        <v>5998</v>
      </c>
      <c r="B123" s="369" t="s">
        <v>45</v>
      </c>
      <c r="C123" s="360">
        <v>0</v>
      </c>
      <c r="D123" s="360"/>
      <c r="E123" s="360">
        <v>0</v>
      </c>
      <c r="F123" s="360">
        <f>E123*1.03</f>
        <v>0</v>
      </c>
      <c r="G123" s="362"/>
      <c r="H123" s="360">
        <f>G123*1.03</f>
        <v>0</v>
      </c>
      <c r="I123" s="360">
        <f>H123*1.03</f>
        <v>0</v>
      </c>
      <c r="J123" s="361"/>
      <c r="K123" s="360">
        <f>I123*1.03</f>
        <v>0</v>
      </c>
      <c r="L123" s="361"/>
      <c r="M123" s="360">
        <f>K123*1.03</f>
        <v>0</v>
      </c>
      <c r="N123" s="361"/>
      <c r="O123" s="360">
        <f>M123*1.03</f>
        <v>0</v>
      </c>
      <c r="P123" s="361"/>
      <c r="Q123" s="360">
        <f>O123*1.03</f>
        <v>0</v>
      </c>
      <c r="R123" s="361"/>
      <c r="S123" s="363">
        <f>Q123*1.03</f>
        <v>0</v>
      </c>
      <c r="T123" s="361"/>
      <c r="U123" s="360">
        <f>S123*1.03</f>
        <v>0</v>
      </c>
      <c r="V123" s="361"/>
      <c r="W123" s="360">
        <f>U123*1.03</f>
        <v>0</v>
      </c>
      <c r="X123" s="361"/>
      <c r="Y123" s="360">
        <f>W123*1.03</f>
        <v>0</v>
      </c>
      <c r="Z123" s="361"/>
      <c r="AA123" s="360">
        <f>Y123*1.03</f>
        <v>0</v>
      </c>
      <c r="AB123" s="361"/>
      <c r="AC123" s="360">
        <f>AA123*1.03</f>
        <v>0</v>
      </c>
      <c r="AD123" s="1092" t="s">
        <v>204</v>
      </c>
      <c r="AE123" s="1093"/>
      <c r="AF123" s="1093"/>
      <c r="AG123" s="1093"/>
      <c r="AH123" s="1094"/>
      <c r="AJ123" s="37"/>
      <c r="AK123" s="37"/>
      <c r="AL123" s="37"/>
      <c r="AM123" s="37"/>
    </row>
    <row r="124" spans="1:39" ht="30" customHeight="1" x14ac:dyDescent="0.25">
      <c r="A124" s="69">
        <v>5999</v>
      </c>
      <c r="B124" s="318" t="s">
        <v>133</v>
      </c>
      <c r="C124" s="75">
        <v>244.76</v>
      </c>
      <c r="D124" s="77">
        <v>486.67</v>
      </c>
      <c r="E124" s="77">
        <v>1492.78</v>
      </c>
      <c r="F124" s="111">
        <v>1183.52</v>
      </c>
      <c r="G124" s="347">
        <v>2193.79</v>
      </c>
      <c r="H124" s="112">
        <v>624.02</v>
      </c>
      <c r="I124" s="112">
        <v>2235.66</v>
      </c>
      <c r="J124" s="29">
        <f>(K124-I124)/I124</f>
        <v>-0.76431121011244996</v>
      </c>
      <c r="K124" s="112">
        <v>526.91999999999996</v>
      </c>
      <c r="L124" s="29">
        <f>(M124-K124)/K124</f>
        <v>1.3652926440446369</v>
      </c>
      <c r="M124" s="112">
        <v>1246.32</v>
      </c>
      <c r="N124" s="29">
        <f>(O124-M124)/M124</f>
        <v>-1.1838693112523269</v>
      </c>
      <c r="O124" s="112">
        <v>-229.16</v>
      </c>
      <c r="P124" s="29">
        <f>(Q124-O124)/O124</f>
        <v>-1</v>
      </c>
      <c r="Q124" s="360">
        <v>0</v>
      </c>
      <c r="R124" s="361"/>
      <c r="S124" s="363">
        <f>Q124*1.03</f>
        <v>0</v>
      </c>
      <c r="T124" s="361"/>
      <c r="U124" s="360">
        <f>S124*1.03</f>
        <v>0</v>
      </c>
      <c r="V124" s="361"/>
      <c r="W124" s="360">
        <f>U124*1.03</f>
        <v>0</v>
      </c>
      <c r="X124" s="361"/>
      <c r="Y124" s="360">
        <f>W124*1.03</f>
        <v>0</v>
      </c>
      <c r="Z124" s="361"/>
      <c r="AA124" s="360">
        <f>Y124*1.03</f>
        <v>0</v>
      </c>
      <c r="AB124" s="361"/>
      <c r="AC124" s="360">
        <f>AA124*1.03</f>
        <v>0</v>
      </c>
      <c r="AD124" s="676" t="s">
        <v>315</v>
      </c>
      <c r="AE124" s="706"/>
      <c r="AF124" s="706"/>
      <c r="AG124" s="706"/>
      <c r="AH124" s="707"/>
      <c r="AI124" s="837"/>
      <c r="AJ124" s="807"/>
      <c r="AK124" s="807"/>
      <c r="AL124" s="807"/>
      <c r="AM124" s="123"/>
    </row>
    <row r="125" spans="1:39" ht="36.6" customHeight="1" x14ac:dyDescent="0.25">
      <c r="A125" s="978" t="s">
        <v>310</v>
      </c>
      <c r="B125" s="924"/>
      <c r="C125" s="87">
        <f t="shared" ref="C125:I125" si="140">SUM(C41:C124)-(C76+C93+C121)</f>
        <v>582657.5</v>
      </c>
      <c r="D125" s="87">
        <f t="shared" si="140"/>
        <v>588397.30999999982</v>
      </c>
      <c r="E125" s="87">
        <f t="shared" si="140"/>
        <v>611329.75</v>
      </c>
      <c r="F125" s="87">
        <f t="shared" si="140"/>
        <v>594472.89999999991</v>
      </c>
      <c r="G125" s="87">
        <f t="shared" si="140"/>
        <v>626689.86000000022</v>
      </c>
      <c r="H125" s="87">
        <f t="shared" si="140"/>
        <v>647905.7899999998</v>
      </c>
      <c r="I125" s="87">
        <f t="shared" si="140"/>
        <v>714820.1399999999</v>
      </c>
      <c r="J125" s="45">
        <f>(K125-I125)/I125</f>
        <v>-0.10028911608450181</v>
      </c>
      <c r="K125" s="87">
        <f>SUM(K41:K124)-(K76+K93+K121)</f>
        <v>643131.46000000008</v>
      </c>
      <c r="L125" s="45">
        <f>(M125-K125)/K125</f>
        <v>5.506749739781041E-2</v>
      </c>
      <c r="M125" s="87">
        <f>SUM(M41:M124)-(M76+M93+M121)</f>
        <v>678547.10000000009</v>
      </c>
      <c r="N125" s="45">
        <f>(O125-M125)/M125</f>
        <v>4.8395726693106357E-2</v>
      </c>
      <c r="O125" s="87">
        <f>SUM(O41:O124)-(O76+O93+O121)</f>
        <v>711385.88</v>
      </c>
      <c r="P125" s="45">
        <f>(Q125-O125)/O125</f>
        <v>7.1557450648303836E-2</v>
      </c>
      <c r="Q125" s="87">
        <f>SUM(Q41:Q124)-(Q76+Q93+Q121)</f>
        <v>762290.8400000002</v>
      </c>
      <c r="R125" s="45">
        <f>(S125-Q125)/Q125</f>
        <v>8.3560586927686933E-2</v>
      </c>
      <c r="S125" s="87">
        <f>SUM(S41:S124)-(S76+S93+S121)</f>
        <v>825988.30999999971</v>
      </c>
      <c r="T125" s="45">
        <f>(U125-S125)/S125</f>
        <v>0.25242849114898558</v>
      </c>
      <c r="U125" s="87">
        <f>SUM(U41:U124)-(U76+U93+U121)</f>
        <v>1034491.2928000002</v>
      </c>
      <c r="V125" s="45">
        <f>(W125-U125)/U125</f>
        <v>-5.7258374360674505E-2</v>
      </c>
      <c r="W125" s="87">
        <f>SUM(W41:W124)-(W76+W93+W121)</f>
        <v>975258.00308399962</v>
      </c>
      <c r="X125" s="45">
        <f>(Y125-W125)/W125</f>
        <v>3.2550084174788892E-2</v>
      </c>
      <c r="Y125" s="87">
        <f>SUM(Y41:Y124)-(Y76+Y93+Y121)</f>
        <v>1007002.7331765203</v>
      </c>
      <c r="Z125" s="45">
        <f>(AA125-Y125)/Y125</f>
        <v>1.8876949256465499E-2</v>
      </c>
      <c r="AA125" s="87">
        <f>SUM(AA41:AA124)-(AA76+AA93+AA121)</f>
        <v>1026011.8726718156</v>
      </c>
      <c r="AB125" s="45">
        <f>(AC125-AA125)/AA125</f>
        <v>1.9054577121261157E-2</v>
      </c>
      <c r="AC125" s="87">
        <f>SUM(AC41:AC124)-(AC76+AC93+AC121)</f>
        <v>1045562.0950269703</v>
      </c>
      <c r="AD125" s="842"/>
      <c r="AE125" s="843"/>
      <c r="AF125" s="843"/>
      <c r="AG125" s="843"/>
      <c r="AH125" s="844"/>
    </row>
    <row r="126" spans="1:39" ht="98.25" customHeight="1" x14ac:dyDescent="0.25">
      <c r="A126" s="886" t="s">
        <v>93</v>
      </c>
      <c r="B126" s="939"/>
      <c r="C126" s="91" t="str">
        <f>C3</f>
        <v xml:space="preserve">2013/14 Actual Audit Figures </v>
      </c>
      <c r="D126" s="91" t="str">
        <f>D3</f>
        <v xml:space="preserve">2014/15 Actuals </v>
      </c>
      <c r="E126" s="91" t="str">
        <f>E39</f>
        <v>2015/16 Expenditure Audited Year End</v>
      </c>
      <c r="F126" s="88" t="str">
        <f t="shared" ref="F126:AD126" si="141">F3</f>
        <v>2016/17 Income Audited Year End</v>
      </c>
      <c r="G126" s="88" t="str">
        <f t="shared" si="141"/>
        <v>2017/18 Audited Figures</v>
      </c>
      <c r="H126" s="88" t="str">
        <f t="shared" si="141"/>
        <v>2018/19 Actual as at 16/5/19</v>
      </c>
      <c r="I126" s="88" t="str">
        <f t="shared" si="141"/>
        <v>2019/20 Audited Figures</v>
      </c>
      <c r="J126" s="50" t="str">
        <f t="shared" si="141"/>
        <v>2020/21  % change</v>
      </c>
      <c r="K126" s="88" t="str">
        <f t="shared" si="141"/>
        <v>2020/21              Audited Figures</v>
      </c>
      <c r="L126" s="50" t="str">
        <f t="shared" si="141"/>
        <v>2021/22  % change</v>
      </c>
      <c r="M126" s="88" t="str">
        <f t="shared" si="141"/>
        <v>2021/22 Audited Figures</v>
      </c>
      <c r="N126" s="50" t="str">
        <f t="shared" si="141"/>
        <v>2022/23  % change</v>
      </c>
      <c r="O126" s="88" t="str">
        <f t="shared" si="141"/>
        <v>2022/23 - Audited Figures</v>
      </c>
      <c r="P126" s="50" t="str">
        <f t="shared" si="141"/>
        <v>2023/24  % change</v>
      </c>
      <c r="Q126" s="88" t="str">
        <f t="shared" si="141"/>
        <v>2023/24 - Audited Figures</v>
      </c>
      <c r="R126" s="50" t="str">
        <f t="shared" si="141"/>
        <v>2024.25  % change</v>
      </c>
      <c r="S126" s="88" t="str">
        <f t="shared" si="141"/>
        <v>2024/25 Actuals @ 20/5/25</v>
      </c>
      <c r="T126" s="50" t="str">
        <f t="shared" si="141"/>
        <v>2025/26  % change</v>
      </c>
      <c r="U126" s="88" t="str">
        <f t="shared" si="141"/>
        <v>2025/26 - To Jan 26 Finance</v>
      </c>
      <c r="V126" s="50" t="str">
        <f t="shared" si="141"/>
        <v>2026/27  % change</v>
      </c>
      <c r="W126" s="88" t="str">
        <f t="shared" si="141"/>
        <v>2026/27 Approved Budget @ 21/1/26</v>
      </c>
      <c r="X126" s="50" t="str">
        <f t="shared" si="141"/>
        <v>2027/28  % change</v>
      </c>
      <c r="Y126" s="88" t="str">
        <f t="shared" si="141"/>
        <v>2027/28 Estimated Projection</v>
      </c>
      <c r="Z126" s="50" t="str">
        <f t="shared" ref="Z126:AA126" si="142">Z3</f>
        <v>2028/29  % change</v>
      </c>
      <c r="AA126" s="88" t="str">
        <f t="shared" si="142"/>
        <v>2028/29 Estimated Projection</v>
      </c>
      <c r="AB126" s="50" t="str">
        <f t="shared" ref="AB126:AC126" si="143">AB3</f>
        <v>2028/29  % change</v>
      </c>
      <c r="AC126" s="88" t="str">
        <f t="shared" si="143"/>
        <v>2029/30 Estimated Projection</v>
      </c>
      <c r="AD126" s="893" t="str">
        <f t="shared" si="141"/>
        <v xml:space="preserve"> DETAILS </v>
      </c>
      <c r="AE126" s="925"/>
      <c r="AF126" s="925"/>
      <c r="AG126" s="925"/>
      <c r="AH126" s="926"/>
    </row>
    <row r="127" spans="1:39" ht="30" customHeight="1" x14ac:dyDescent="0.25">
      <c r="A127" s="2">
        <v>6010</v>
      </c>
      <c r="B127" s="3" t="s">
        <v>94</v>
      </c>
      <c r="C127" s="76">
        <v>0</v>
      </c>
      <c r="D127" s="108">
        <v>0</v>
      </c>
      <c r="E127" s="108">
        <v>0</v>
      </c>
      <c r="F127" s="77">
        <v>0</v>
      </c>
      <c r="G127" s="338">
        <v>0</v>
      </c>
      <c r="H127" s="77">
        <v>0</v>
      </c>
      <c r="I127" s="77">
        <v>0</v>
      </c>
      <c r="J127" s="8" t="e">
        <f>(K127-I127)/I127</f>
        <v>#DIV/0!</v>
      </c>
      <c r="K127" s="77">
        <v>0</v>
      </c>
      <c r="L127" s="8" t="e">
        <f>(M127-K127)/K127</f>
        <v>#DIV/0!</v>
      </c>
      <c r="M127" s="77">
        <v>0</v>
      </c>
      <c r="N127" s="8" t="e">
        <f>(O127-M127)/M127</f>
        <v>#DIV/0!</v>
      </c>
      <c r="O127" s="77">
        <v>0</v>
      </c>
      <c r="P127" s="8" t="e">
        <f>(Q127-O127)/O127</f>
        <v>#DIV/0!</v>
      </c>
      <c r="Q127" s="77">
        <v>0</v>
      </c>
      <c r="R127" s="8" t="e">
        <f t="shared" ref="R127:R142" si="144">(S127-Q127)/Q127</f>
        <v>#DIV/0!</v>
      </c>
      <c r="S127" s="77">
        <v>0</v>
      </c>
      <c r="T127" s="8" t="e">
        <f t="shared" ref="T127:T142" si="145">(U127-S127)/S127</f>
        <v>#DIV/0!</v>
      </c>
      <c r="U127" s="521">
        <v>0</v>
      </c>
      <c r="V127" s="8" t="e">
        <f t="shared" ref="V127:V142" si="146">(W127-U127)/U127</f>
        <v>#DIV/0!</v>
      </c>
      <c r="W127" s="75">
        <v>0</v>
      </c>
      <c r="X127" s="8" t="e">
        <f t="shared" ref="X127:X142" si="147">(Y127-W127)/W127</f>
        <v>#DIV/0!</v>
      </c>
      <c r="Y127" s="75">
        <v>0</v>
      </c>
      <c r="Z127" s="8" t="e">
        <f t="shared" ref="Z127:Z146" si="148">(AA127-Y127)/Y127</f>
        <v>#DIV/0!</v>
      </c>
      <c r="AA127" s="75">
        <v>0</v>
      </c>
      <c r="AB127" s="8" t="e">
        <f t="shared" ref="AB127:AB146" si="149">(AC127-AA127)/AA127</f>
        <v>#DIV/0!</v>
      </c>
      <c r="AC127" s="75">
        <v>0</v>
      </c>
      <c r="AD127" s="729"/>
      <c r="AE127" s="730"/>
      <c r="AF127" s="730"/>
      <c r="AG127" s="730"/>
      <c r="AH127" s="731"/>
    </row>
    <row r="128" spans="1:39" ht="48" customHeight="1" x14ac:dyDescent="0.25">
      <c r="A128" s="2">
        <v>6011</v>
      </c>
      <c r="B128" s="3" t="s">
        <v>95</v>
      </c>
      <c r="C128" s="75">
        <v>9302.25</v>
      </c>
      <c r="D128" s="77">
        <v>9519.5</v>
      </c>
      <c r="E128" s="77">
        <v>9736.75</v>
      </c>
      <c r="F128" s="77">
        <v>9320.75</v>
      </c>
      <c r="G128" s="338">
        <v>9087</v>
      </c>
      <c r="H128" s="77">
        <v>9360</v>
      </c>
      <c r="I128" s="77">
        <v>9574.5</v>
      </c>
      <c r="J128" s="8">
        <f>(K128-I128)/I128</f>
        <v>1.6293279022403257E-2</v>
      </c>
      <c r="K128" s="77">
        <v>9730.5</v>
      </c>
      <c r="L128" s="8">
        <f>(M128-K128)/K128</f>
        <v>0</v>
      </c>
      <c r="M128" s="77">
        <v>9730.5</v>
      </c>
      <c r="N128" s="8">
        <f>(O128-M128)/M128</f>
        <v>0</v>
      </c>
      <c r="O128" s="77">
        <v>9730.5</v>
      </c>
      <c r="P128" s="8">
        <f>(Q128-O128)/O128</f>
        <v>-8.9743589743589744E-2</v>
      </c>
      <c r="Q128" s="77">
        <v>8857.25</v>
      </c>
      <c r="R128" s="8">
        <f t="shared" si="144"/>
        <v>0</v>
      </c>
      <c r="S128" s="77">
        <v>8857.25</v>
      </c>
      <c r="T128" s="8">
        <f t="shared" si="145"/>
        <v>8.467639504360834E-5</v>
      </c>
      <c r="U128" s="521">
        <v>8858</v>
      </c>
      <c r="V128" s="8">
        <f t="shared" si="146"/>
        <v>2.9999999999999975E-2</v>
      </c>
      <c r="W128" s="75">
        <f>U128*1.03</f>
        <v>9123.74</v>
      </c>
      <c r="X128" s="8">
        <f t="shared" si="147"/>
        <v>2.9999999999999995E-2</v>
      </c>
      <c r="Y128" s="75">
        <f>W128*1.03</f>
        <v>9397.4521999999997</v>
      </c>
      <c r="Z128" s="8">
        <f t="shared" si="148"/>
        <v>2.9999999999999947E-2</v>
      </c>
      <c r="AA128" s="75">
        <f>Y128*1.03</f>
        <v>9679.3757659999992</v>
      </c>
      <c r="AB128" s="8">
        <f t="shared" si="149"/>
        <v>3.0000000000000113E-2</v>
      </c>
      <c r="AC128" s="75">
        <f>AA128*1.03</f>
        <v>9969.7570389800003</v>
      </c>
      <c r="AD128" s="723" t="s">
        <v>425</v>
      </c>
      <c r="AE128" s="735"/>
      <c r="AF128" s="735"/>
      <c r="AG128" s="735"/>
      <c r="AH128" s="736"/>
      <c r="AI128" s="785"/>
      <c r="AJ128" s="786"/>
      <c r="AK128" s="786"/>
      <c r="AL128" s="787"/>
    </row>
    <row r="129" spans="1:39" ht="113.25" customHeight="1" x14ac:dyDescent="0.25">
      <c r="A129" s="4">
        <v>6012</v>
      </c>
      <c r="B129" s="5" t="s">
        <v>48</v>
      </c>
      <c r="C129" s="75">
        <v>655.78</v>
      </c>
      <c r="D129" s="77">
        <v>862.14</v>
      </c>
      <c r="E129" s="77">
        <v>1047.53</v>
      </c>
      <c r="F129" s="77">
        <v>1077.73</v>
      </c>
      <c r="G129" s="338">
        <v>1090.6400000000001</v>
      </c>
      <c r="H129" s="77">
        <v>1065.3699999999999</v>
      </c>
      <c r="I129" s="77">
        <v>1261.55</v>
      </c>
      <c r="J129" s="8">
        <f>(K129-I129)/I129</f>
        <v>-0.25249098331417696</v>
      </c>
      <c r="K129" s="77">
        <v>943.02</v>
      </c>
      <c r="L129" s="8">
        <f>(M129-K129)/K129</f>
        <v>3.9437127526457609E-2</v>
      </c>
      <c r="M129" s="77">
        <v>980.21</v>
      </c>
      <c r="N129" s="8">
        <f>(O129-M129)/M129</f>
        <v>0.28875445057691712</v>
      </c>
      <c r="O129" s="77">
        <v>1263.25</v>
      </c>
      <c r="P129" s="8">
        <f>(Q129-O129)/O129</f>
        <v>0.10416782109637833</v>
      </c>
      <c r="Q129" s="77">
        <v>1394.84</v>
      </c>
      <c r="R129" s="8">
        <f t="shared" si="144"/>
        <v>5.6830890998250685E-2</v>
      </c>
      <c r="S129" s="77">
        <v>1474.11</v>
      </c>
      <c r="T129" s="8">
        <f t="shared" si="145"/>
        <v>0.22107576775138907</v>
      </c>
      <c r="U129" s="521">
        <v>1800</v>
      </c>
      <c r="V129" s="8">
        <f t="shared" si="146"/>
        <v>3.0555555555555555E-2</v>
      </c>
      <c r="W129" s="77">
        <v>1855</v>
      </c>
      <c r="X129" s="8">
        <f t="shared" si="147"/>
        <v>3.0000000000000047E-2</v>
      </c>
      <c r="Y129" s="75">
        <f>W129*1.03</f>
        <v>1910.65</v>
      </c>
      <c r="Z129" s="8">
        <f t="shared" si="148"/>
        <v>3.000000000000003E-2</v>
      </c>
      <c r="AA129" s="75">
        <f>Y129*1.03</f>
        <v>1967.9695000000002</v>
      </c>
      <c r="AB129" s="8">
        <f t="shared" si="149"/>
        <v>3.0000000000000054E-2</v>
      </c>
      <c r="AC129" s="75">
        <f>AA129*1.03</f>
        <v>2027.0085850000003</v>
      </c>
      <c r="AD129" s="711" t="s">
        <v>472</v>
      </c>
      <c r="AE129" s="767"/>
      <c r="AF129" s="767"/>
      <c r="AG129" s="767"/>
      <c r="AH129" s="768"/>
      <c r="AI129" s="791"/>
      <c r="AJ129" s="792"/>
      <c r="AK129" s="792"/>
      <c r="AL129" s="792"/>
    </row>
    <row r="130" spans="1:39" ht="26.45" customHeight="1" x14ac:dyDescent="0.25">
      <c r="A130" s="2">
        <v>6025</v>
      </c>
      <c r="B130" s="3" t="s">
        <v>56</v>
      </c>
      <c r="C130" s="76">
        <v>0</v>
      </c>
      <c r="D130" s="108">
        <v>0</v>
      </c>
      <c r="E130" s="108">
        <v>0</v>
      </c>
      <c r="F130" s="108">
        <v>0</v>
      </c>
      <c r="G130" s="338">
        <v>0</v>
      </c>
      <c r="H130" s="77">
        <v>0</v>
      </c>
      <c r="I130" s="77">
        <v>0</v>
      </c>
      <c r="J130" s="8" t="e">
        <f>(K130-I130)/I130</f>
        <v>#DIV/0!</v>
      </c>
      <c r="K130" s="77">
        <v>0</v>
      </c>
      <c r="L130" s="8" t="e">
        <f>(M130-K130)/K130</f>
        <v>#DIV/0!</v>
      </c>
      <c r="M130" s="77">
        <v>0</v>
      </c>
      <c r="N130" s="8" t="e">
        <f>(O130-M130)/M130</f>
        <v>#DIV/0!</v>
      </c>
      <c r="O130" s="77">
        <v>0</v>
      </c>
      <c r="P130" s="8" t="e">
        <f>(Q130-O130)/O130</f>
        <v>#DIV/0!</v>
      </c>
      <c r="Q130" s="77">
        <v>0</v>
      </c>
      <c r="R130" s="8" t="e">
        <f t="shared" si="144"/>
        <v>#DIV/0!</v>
      </c>
      <c r="S130" s="77">
        <v>0</v>
      </c>
      <c r="T130" s="8" t="e">
        <f t="shared" si="145"/>
        <v>#DIV/0!</v>
      </c>
      <c r="U130" s="521">
        <v>0</v>
      </c>
      <c r="V130" s="8" t="e">
        <f t="shared" si="146"/>
        <v>#DIV/0!</v>
      </c>
      <c r="W130" s="75">
        <v>0</v>
      </c>
      <c r="X130" s="8" t="e">
        <f t="shared" si="147"/>
        <v>#DIV/0!</v>
      </c>
      <c r="Y130" s="75">
        <v>0</v>
      </c>
      <c r="Z130" s="8" t="e">
        <f t="shared" si="148"/>
        <v>#DIV/0!</v>
      </c>
      <c r="AA130" s="75">
        <v>0</v>
      </c>
      <c r="AB130" s="8" t="e">
        <f t="shared" si="149"/>
        <v>#DIV/0!</v>
      </c>
      <c r="AC130" s="75">
        <v>0</v>
      </c>
      <c r="AD130" s="852"/>
      <c r="AE130" s="735"/>
      <c r="AF130" s="735"/>
      <c r="AG130" s="735"/>
      <c r="AH130" s="736"/>
    </row>
    <row r="131" spans="1:39" ht="148.5" customHeight="1" x14ac:dyDescent="0.25">
      <c r="A131" s="2">
        <v>6030</v>
      </c>
      <c r="B131" s="3" t="s">
        <v>57</v>
      </c>
      <c r="C131" s="75">
        <v>3808.4</v>
      </c>
      <c r="D131" s="77">
        <v>3506.98</v>
      </c>
      <c r="E131" s="77">
        <v>3702.51</v>
      </c>
      <c r="F131" s="77">
        <v>3475.94</v>
      </c>
      <c r="G131" s="338">
        <v>2991.46</v>
      </c>
      <c r="H131" s="77">
        <v>3907.19</v>
      </c>
      <c r="I131" s="77">
        <v>3540.21</v>
      </c>
      <c r="J131" s="8">
        <f t="shared" ref="J131:J142" si="150">(K131-I131)/I131</f>
        <v>0.3971459320209817</v>
      </c>
      <c r="K131" s="77">
        <v>4946.1899999999996</v>
      </c>
      <c r="L131" s="8">
        <f t="shared" ref="L131:L142" si="151">(M131-K131)/K131</f>
        <v>1.5385579607738556E-2</v>
      </c>
      <c r="M131" s="77">
        <v>5022.29</v>
      </c>
      <c r="N131" s="8">
        <f t="shared" ref="N131:N142" si="152">(O131-M131)/M131</f>
        <v>0.14719580111861327</v>
      </c>
      <c r="O131" s="77">
        <v>5761.55</v>
      </c>
      <c r="P131" s="8">
        <f t="shared" ref="P131:P142" si="153">(Q131-O131)/O131</f>
        <v>0.10384705504595113</v>
      </c>
      <c r="Q131" s="77">
        <v>6359.87</v>
      </c>
      <c r="R131" s="8">
        <f t="shared" si="144"/>
        <v>0.52841174426521298</v>
      </c>
      <c r="S131" s="77">
        <v>9720.5</v>
      </c>
      <c r="T131" s="8">
        <f t="shared" si="145"/>
        <v>0.2345043979219176</v>
      </c>
      <c r="U131" s="521">
        <v>12000</v>
      </c>
      <c r="V131" s="8">
        <f t="shared" si="146"/>
        <v>-8.3333333333333329E-2</v>
      </c>
      <c r="W131" s="77">
        <v>11000</v>
      </c>
      <c r="X131" s="8">
        <f t="shared" si="147"/>
        <v>0</v>
      </c>
      <c r="Y131" s="77">
        <v>11000</v>
      </c>
      <c r="Z131" s="8">
        <f t="shared" si="148"/>
        <v>0.05</v>
      </c>
      <c r="AA131" s="77">
        <f>Y131*1.05</f>
        <v>11550</v>
      </c>
      <c r="AB131" s="8">
        <f t="shared" si="149"/>
        <v>0</v>
      </c>
      <c r="AC131" s="77">
        <f>AA131</f>
        <v>11550</v>
      </c>
      <c r="AD131" s="711" t="s">
        <v>473</v>
      </c>
      <c r="AE131" s="767"/>
      <c r="AF131" s="767"/>
      <c r="AG131" s="767"/>
      <c r="AH131" s="768"/>
      <c r="AI131" s="791"/>
      <c r="AJ131" s="792"/>
      <c r="AK131" s="792"/>
      <c r="AL131" s="792"/>
    </row>
    <row r="132" spans="1:39" ht="153.75" customHeight="1" x14ac:dyDescent="0.25">
      <c r="A132" s="2">
        <v>6031</v>
      </c>
      <c r="B132" s="3" t="s">
        <v>58</v>
      </c>
      <c r="C132" s="75">
        <v>7063.95</v>
      </c>
      <c r="D132" s="77">
        <v>5254.98</v>
      </c>
      <c r="E132" s="77">
        <v>5621.79</v>
      </c>
      <c r="F132" s="77">
        <v>4392.32</v>
      </c>
      <c r="G132" s="338">
        <v>4132.0200000000004</v>
      </c>
      <c r="H132" s="77">
        <v>3428.89</v>
      </c>
      <c r="I132" s="77">
        <v>6258.46</v>
      </c>
      <c r="J132" s="8">
        <f t="shared" si="150"/>
        <v>-0.11514493980947391</v>
      </c>
      <c r="K132" s="77">
        <v>5537.83</v>
      </c>
      <c r="L132" s="8">
        <f t="shared" si="151"/>
        <v>-0.20867740613200475</v>
      </c>
      <c r="M132" s="77">
        <v>4382.21</v>
      </c>
      <c r="N132" s="8">
        <f t="shared" si="152"/>
        <v>0.39267857998589756</v>
      </c>
      <c r="O132" s="77">
        <v>6103.01</v>
      </c>
      <c r="P132" s="8">
        <f t="shared" si="153"/>
        <v>-0.1372814398141245</v>
      </c>
      <c r="Q132" s="77">
        <v>5265.18</v>
      </c>
      <c r="R132" s="8">
        <f t="shared" si="144"/>
        <v>1.8604720066550429</v>
      </c>
      <c r="S132" s="77">
        <v>15060.9</v>
      </c>
      <c r="T132" s="8">
        <f t="shared" ref="T132" si="154">(U132-S132)/S132</f>
        <v>-0.46882324429482963</v>
      </c>
      <c r="U132" s="521">
        <v>8000</v>
      </c>
      <c r="V132" s="8">
        <f t="shared" ref="V132" si="155">(W132-U132)/U132</f>
        <v>1</v>
      </c>
      <c r="W132" s="77">
        <v>16000</v>
      </c>
      <c r="X132" s="8">
        <f t="shared" si="147"/>
        <v>0.1</v>
      </c>
      <c r="Y132" s="77">
        <f>W132*1.1</f>
        <v>17600</v>
      </c>
      <c r="Z132" s="8">
        <f t="shared" si="148"/>
        <v>0</v>
      </c>
      <c r="AA132" s="77">
        <f>Y132</f>
        <v>17600</v>
      </c>
      <c r="AB132" s="8">
        <f t="shared" si="149"/>
        <v>0</v>
      </c>
      <c r="AC132" s="77">
        <f>AA132</f>
        <v>17600</v>
      </c>
      <c r="AD132" s="711" t="s">
        <v>518</v>
      </c>
      <c r="AE132" s="767"/>
      <c r="AF132" s="767"/>
      <c r="AG132" s="767"/>
      <c r="AH132" s="768"/>
      <c r="AI132" s="791"/>
      <c r="AJ132" s="792"/>
      <c r="AK132" s="792"/>
      <c r="AL132" s="792"/>
      <c r="AM132" s="122"/>
    </row>
    <row r="133" spans="1:39" ht="161.25" customHeight="1" x14ac:dyDescent="0.25">
      <c r="A133" s="2">
        <v>6032</v>
      </c>
      <c r="B133" s="3" t="s">
        <v>210</v>
      </c>
      <c r="C133" s="75">
        <v>620.74</v>
      </c>
      <c r="D133" s="77">
        <v>473.56</v>
      </c>
      <c r="E133" s="77">
        <v>483</v>
      </c>
      <c r="F133" s="77">
        <v>519.72</v>
      </c>
      <c r="G133" s="338">
        <v>526.48</v>
      </c>
      <c r="H133" s="77">
        <v>491.58</v>
      </c>
      <c r="I133" s="77">
        <v>315.85000000000002</v>
      </c>
      <c r="J133" s="8">
        <f t="shared" si="150"/>
        <v>1.1239829032768718</v>
      </c>
      <c r="K133" s="77">
        <v>670.86</v>
      </c>
      <c r="L133" s="8">
        <f t="shared" si="151"/>
        <v>-0.77929821423247758</v>
      </c>
      <c r="M133" s="77">
        <v>148.06</v>
      </c>
      <c r="N133" s="8">
        <f t="shared" si="152"/>
        <v>2.4752127515871942</v>
      </c>
      <c r="O133" s="77">
        <v>514.54</v>
      </c>
      <c r="P133" s="8">
        <f t="shared" si="153"/>
        <v>3.9277801531465074E-2</v>
      </c>
      <c r="Q133" s="77">
        <v>534.75</v>
      </c>
      <c r="R133" s="8">
        <f t="shared" si="144"/>
        <v>0.36271154745208045</v>
      </c>
      <c r="S133" s="77">
        <v>728.71</v>
      </c>
      <c r="T133" s="8">
        <f t="shared" si="145"/>
        <v>-3.9398388933869488E-2</v>
      </c>
      <c r="U133" s="521">
        <v>700</v>
      </c>
      <c r="V133" s="8">
        <f t="shared" si="146"/>
        <v>0.03</v>
      </c>
      <c r="W133" s="75">
        <f>U133*1.03</f>
        <v>721</v>
      </c>
      <c r="X133" s="8">
        <f t="shared" si="147"/>
        <v>2.9999999999999995E-2</v>
      </c>
      <c r="Y133" s="75">
        <f>W133*1.03</f>
        <v>742.63</v>
      </c>
      <c r="Z133" s="8">
        <f t="shared" si="148"/>
        <v>3.000000000000003E-2</v>
      </c>
      <c r="AA133" s="75">
        <f>Y133*1.03</f>
        <v>764.90890000000002</v>
      </c>
      <c r="AB133" s="8">
        <f t="shared" si="149"/>
        <v>3.0000000000000013E-2</v>
      </c>
      <c r="AC133" s="75">
        <f>AA133*1.03</f>
        <v>787.85616700000003</v>
      </c>
      <c r="AD133" s="726" t="s">
        <v>337</v>
      </c>
      <c r="AE133" s="727"/>
      <c r="AF133" s="727"/>
      <c r="AG133" s="727"/>
      <c r="AH133" s="728"/>
      <c r="AI133" s="409"/>
    </row>
    <row r="134" spans="1:39" ht="45.75" customHeight="1" x14ac:dyDescent="0.25">
      <c r="A134" s="2">
        <v>6033</v>
      </c>
      <c r="B134" s="3" t="s">
        <v>59</v>
      </c>
      <c r="C134" s="75">
        <v>2124.87</v>
      </c>
      <c r="D134" s="77">
        <v>2607.6799999999998</v>
      </c>
      <c r="E134" s="77">
        <v>2082.77</v>
      </c>
      <c r="F134" s="77">
        <v>2059.23</v>
      </c>
      <c r="G134" s="338">
        <v>2047.04</v>
      </c>
      <c r="H134" s="77">
        <v>2347.64</v>
      </c>
      <c r="I134" s="77">
        <v>1580.12</v>
      </c>
      <c r="J134" s="8">
        <f t="shared" si="150"/>
        <v>4.4237146545832023E-3</v>
      </c>
      <c r="K134" s="77">
        <v>1587.11</v>
      </c>
      <c r="L134" s="8">
        <f t="shared" si="151"/>
        <v>-6.8602680343517394E-2</v>
      </c>
      <c r="M134" s="77">
        <v>1478.23</v>
      </c>
      <c r="N134" s="8">
        <f t="shared" si="152"/>
        <v>0.29658442867483414</v>
      </c>
      <c r="O134" s="77">
        <v>1916.65</v>
      </c>
      <c r="P134" s="8">
        <f t="shared" si="153"/>
        <v>0.17317715806224404</v>
      </c>
      <c r="Q134" s="77">
        <v>2248.5700000000002</v>
      </c>
      <c r="R134" s="8">
        <f t="shared" si="144"/>
        <v>0.28219268246040802</v>
      </c>
      <c r="S134" s="77">
        <v>2883.1</v>
      </c>
      <c r="T134" s="8">
        <f t="shared" si="145"/>
        <v>4.0546633831639589E-2</v>
      </c>
      <c r="U134" s="521">
        <v>3000</v>
      </c>
      <c r="V134" s="8">
        <f t="shared" si="146"/>
        <v>0.05</v>
      </c>
      <c r="W134" s="75">
        <f>U134*1.05</f>
        <v>3150</v>
      </c>
      <c r="X134" s="8">
        <f t="shared" si="147"/>
        <v>0.05</v>
      </c>
      <c r="Y134" s="75">
        <f>W134*1.05</f>
        <v>3307.5</v>
      </c>
      <c r="Z134" s="8">
        <f t="shared" si="148"/>
        <v>0.05</v>
      </c>
      <c r="AA134" s="75">
        <f>Y134*1.05</f>
        <v>3472.875</v>
      </c>
      <c r="AB134" s="8">
        <f t="shared" si="149"/>
        <v>5.0000000000000051E-2</v>
      </c>
      <c r="AC134" s="75">
        <f>AA134*1.05</f>
        <v>3646.5187500000002</v>
      </c>
      <c r="AD134" s="723" t="s">
        <v>281</v>
      </c>
      <c r="AE134" s="724"/>
      <c r="AF134" s="724"/>
      <c r="AG134" s="724"/>
      <c r="AH134" s="725"/>
      <c r="AI134" s="409"/>
      <c r="AJ134" s="122"/>
      <c r="AK134" s="122"/>
      <c r="AL134" s="122"/>
      <c r="AM134" s="122"/>
    </row>
    <row r="135" spans="1:39" ht="102.75" customHeight="1" x14ac:dyDescent="0.25">
      <c r="A135" s="2">
        <v>6035</v>
      </c>
      <c r="B135" s="3" t="s">
        <v>96</v>
      </c>
      <c r="C135" s="75">
        <v>521.80999999999995</v>
      </c>
      <c r="D135" s="77">
        <v>1159.54</v>
      </c>
      <c r="E135" s="77">
        <v>1724</v>
      </c>
      <c r="F135" s="77">
        <v>1504</v>
      </c>
      <c r="G135" s="338">
        <v>1503.95</v>
      </c>
      <c r="H135" s="77">
        <v>1909.65</v>
      </c>
      <c r="I135" s="77">
        <v>3511.08</v>
      </c>
      <c r="J135" s="8">
        <f t="shared" si="150"/>
        <v>-0.48240712259475715</v>
      </c>
      <c r="K135" s="77">
        <v>1817.31</v>
      </c>
      <c r="L135" s="8">
        <f t="shared" si="151"/>
        <v>3.5447997314712446E-2</v>
      </c>
      <c r="M135" s="77">
        <v>1881.73</v>
      </c>
      <c r="N135" s="8">
        <f t="shared" si="152"/>
        <v>0.38684083263805108</v>
      </c>
      <c r="O135" s="77">
        <v>2609.66</v>
      </c>
      <c r="P135" s="8">
        <f t="shared" si="153"/>
        <v>-0.11749423296521383</v>
      </c>
      <c r="Q135" s="77">
        <v>2303.04</v>
      </c>
      <c r="R135" s="8">
        <f t="shared" si="144"/>
        <v>-2.6108969014867353E-2</v>
      </c>
      <c r="S135" s="77">
        <v>2242.91</v>
      </c>
      <c r="T135" s="8">
        <f t="shared" si="145"/>
        <v>0.42671796906697113</v>
      </c>
      <c r="U135" s="521">
        <v>3200</v>
      </c>
      <c r="V135" s="8">
        <f t="shared" si="146"/>
        <v>0</v>
      </c>
      <c r="W135" s="77">
        <v>3200</v>
      </c>
      <c r="X135" s="8">
        <f t="shared" si="147"/>
        <v>0.05</v>
      </c>
      <c r="Y135" s="75">
        <f>W135*1.05</f>
        <v>3360</v>
      </c>
      <c r="Z135" s="8">
        <f t="shared" si="148"/>
        <v>0.05</v>
      </c>
      <c r="AA135" s="75">
        <f>Y135*1.05</f>
        <v>3528</v>
      </c>
      <c r="AB135" s="8">
        <f t="shared" si="149"/>
        <v>5.0000000000000024E-2</v>
      </c>
      <c r="AC135" s="75">
        <f>AA135*1.05</f>
        <v>3704.4</v>
      </c>
      <c r="AD135" s="726" t="s">
        <v>353</v>
      </c>
      <c r="AE135" s="727"/>
      <c r="AF135" s="727"/>
      <c r="AG135" s="727"/>
      <c r="AH135" s="728"/>
      <c r="AI135" s="838"/>
      <c r="AJ135" s="835"/>
      <c r="AK135" s="835"/>
      <c r="AL135" s="835"/>
      <c r="AM135" s="122"/>
    </row>
    <row r="136" spans="1:39" ht="62.25" customHeight="1" x14ac:dyDescent="0.25">
      <c r="A136" s="2">
        <v>6036</v>
      </c>
      <c r="B136" s="3" t="s">
        <v>97</v>
      </c>
      <c r="C136" s="75">
        <v>615.82000000000005</v>
      </c>
      <c r="D136" s="77">
        <v>474.56</v>
      </c>
      <c r="E136" s="77">
        <v>571.09</v>
      </c>
      <c r="F136" s="77">
        <v>368.77</v>
      </c>
      <c r="G136" s="338">
        <v>310.5</v>
      </c>
      <c r="H136" s="77">
        <v>310.5</v>
      </c>
      <c r="I136" s="77">
        <v>142.06</v>
      </c>
      <c r="J136" s="8">
        <f t="shared" si="150"/>
        <v>0.56039701534562847</v>
      </c>
      <c r="K136" s="77">
        <v>221.67</v>
      </c>
      <c r="L136" s="8">
        <f t="shared" si="151"/>
        <v>0.82690485857355556</v>
      </c>
      <c r="M136" s="77">
        <v>404.97</v>
      </c>
      <c r="N136" s="8">
        <f t="shared" si="152"/>
        <v>-0.44709484653184189</v>
      </c>
      <c r="O136" s="77">
        <v>223.91</v>
      </c>
      <c r="P136" s="8">
        <f t="shared" si="153"/>
        <v>1.7976865704970746</v>
      </c>
      <c r="Q136" s="77">
        <v>626.42999999999995</v>
      </c>
      <c r="R136" s="8">
        <f t="shared" si="144"/>
        <v>-0.30855801925195148</v>
      </c>
      <c r="S136" s="77">
        <v>433.14</v>
      </c>
      <c r="T136" s="8">
        <f t="shared" si="145"/>
        <v>0.15436117652491116</v>
      </c>
      <c r="U136" s="521">
        <v>500</v>
      </c>
      <c r="V136" s="8">
        <f t="shared" si="146"/>
        <v>0.03</v>
      </c>
      <c r="W136" s="77">
        <f>U136*1.03</f>
        <v>515</v>
      </c>
      <c r="X136" s="8">
        <f t="shared" si="147"/>
        <v>3.0000000000000089E-2</v>
      </c>
      <c r="Y136" s="77">
        <f>W136*1.03</f>
        <v>530.45000000000005</v>
      </c>
      <c r="Z136" s="8">
        <f t="shared" si="148"/>
        <v>2.9999999999999995E-2</v>
      </c>
      <c r="AA136" s="77">
        <f>Y136*1.03</f>
        <v>546.36350000000004</v>
      </c>
      <c r="AB136" s="8">
        <f t="shared" si="149"/>
        <v>2.9999999999999954E-2</v>
      </c>
      <c r="AC136" s="77">
        <f>AA136*1.03</f>
        <v>562.75440500000002</v>
      </c>
      <c r="AD136" s="1059" t="s">
        <v>349</v>
      </c>
      <c r="AE136" s="1060"/>
      <c r="AF136" s="1060"/>
      <c r="AG136" s="1060"/>
      <c r="AH136" s="1061"/>
      <c r="AI136" s="796"/>
      <c r="AJ136" s="797"/>
      <c r="AK136" s="797"/>
      <c r="AL136" s="797"/>
      <c r="AM136" s="797"/>
    </row>
    <row r="137" spans="1:39" ht="299.25" customHeight="1" x14ac:dyDescent="0.25">
      <c r="A137" s="2">
        <v>6041</v>
      </c>
      <c r="B137" s="3" t="s">
        <v>98</v>
      </c>
      <c r="C137" s="75">
        <v>21575.89</v>
      </c>
      <c r="D137" s="77">
        <v>22472.05</v>
      </c>
      <c r="E137" s="77">
        <v>27023.31</v>
      </c>
      <c r="F137" s="77">
        <v>20724.23</v>
      </c>
      <c r="G137" s="338">
        <v>15309.6</v>
      </c>
      <c r="H137" s="77">
        <v>18277.580000000002</v>
      </c>
      <c r="I137" s="77">
        <v>20147.38</v>
      </c>
      <c r="J137" s="8">
        <f t="shared" si="150"/>
        <v>-0.41032878716736371</v>
      </c>
      <c r="K137" s="77">
        <v>11880.33</v>
      </c>
      <c r="L137" s="8">
        <f t="shared" si="151"/>
        <v>0.84917169809256143</v>
      </c>
      <c r="M137" s="77">
        <v>21968.77</v>
      </c>
      <c r="N137" s="8">
        <f t="shared" si="152"/>
        <v>0.30188399259494275</v>
      </c>
      <c r="O137" s="77">
        <v>28600.79</v>
      </c>
      <c r="P137" s="8">
        <f t="shared" si="153"/>
        <v>-0.4722782132941083</v>
      </c>
      <c r="Q137" s="77">
        <v>15093.26</v>
      </c>
      <c r="R137" s="8">
        <f t="shared" si="144"/>
        <v>8.1217709096643151E-2</v>
      </c>
      <c r="S137" s="576">
        <v>16319.1</v>
      </c>
      <c r="T137" s="8">
        <f t="shared" si="145"/>
        <v>0.46135509923954138</v>
      </c>
      <c r="U137" s="608">
        <v>23848</v>
      </c>
      <c r="V137" s="8">
        <f t="shared" si="146"/>
        <v>4.5161019792016102E-2</v>
      </c>
      <c r="W137" s="77">
        <v>24925</v>
      </c>
      <c r="X137" s="8">
        <f t="shared" si="147"/>
        <v>0.03</v>
      </c>
      <c r="Y137" s="75">
        <f>W137*1.03</f>
        <v>25672.75</v>
      </c>
      <c r="Z137" s="8">
        <f t="shared" si="148"/>
        <v>2.9999999999999961E-2</v>
      </c>
      <c r="AA137" s="75">
        <f>Y137*1.03</f>
        <v>26442.932499999999</v>
      </c>
      <c r="AB137" s="8">
        <f t="shared" si="149"/>
        <v>2.9999999999999975E-2</v>
      </c>
      <c r="AC137" s="75">
        <f>AA137*1.03</f>
        <v>27236.220474999998</v>
      </c>
      <c r="AD137" s="711" t="s">
        <v>517</v>
      </c>
      <c r="AE137" s="767"/>
      <c r="AF137" s="767"/>
      <c r="AG137" s="767"/>
      <c r="AH137" s="768"/>
      <c r="AI137" s="788"/>
      <c r="AJ137" s="789"/>
      <c r="AK137" s="790"/>
      <c r="AL137" s="790"/>
    </row>
    <row r="138" spans="1:39" ht="60" customHeight="1" x14ac:dyDescent="0.25">
      <c r="A138" s="2">
        <v>6042</v>
      </c>
      <c r="B138" s="3" t="s">
        <v>99</v>
      </c>
      <c r="C138" s="75">
        <v>0</v>
      </c>
      <c r="D138" s="77">
        <v>365</v>
      </c>
      <c r="E138" s="77">
        <v>375</v>
      </c>
      <c r="F138" s="77">
        <v>250</v>
      </c>
      <c r="G138" s="338">
        <v>916.99</v>
      </c>
      <c r="H138" s="77">
        <v>630</v>
      </c>
      <c r="I138" s="77">
        <v>0</v>
      </c>
      <c r="J138" s="8" t="e">
        <f t="shared" si="150"/>
        <v>#DIV/0!</v>
      </c>
      <c r="K138" s="77">
        <v>0</v>
      </c>
      <c r="L138" s="8" t="e">
        <f t="shared" si="151"/>
        <v>#DIV/0!</v>
      </c>
      <c r="M138" s="77">
        <v>295</v>
      </c>
      <c r="N138" s="8">
        <f t="shared" si="152"/>
        <v>-0.69938983050847459</v>
      </c>
      <c r="O138" s="77">
        <v>88.68</v>
      </c>
      <c r="P138" s="8">
        <f t="shared" si="153"/>
        <v>-1</v>
      </c>
      <c r="Q138" s="77">
        <v>0</v>
      </c>
      <c r="R138" s="8" t="e">
        <f t="shared" si="144"/>
        <v>#DIV/0!</v>
      </c>
      <c r="S138" s="576">
        <v>625</v>
      </c>
      <c r="T138" s="8">
        <f t="shared" si="145"/>
        <v>-0.2</v>
      </c>
      <c r="U138" s="521">
        <v>500</v>
      </c>
      <c r="V138" s="8">
        <f t="shared" si="146"/>
        <v>0</v>
      </c>
      <c r="W138" s="75">
        <v>500</v>
      </c>
      <c r="X138" s="8">
        <f t="shared" si="147"/>
        <v>0</v>
      </c>
      <c r="Y138" s="75">
        <v>500</v>
      </c>
      <c r="Z138" s="8">
        <f t="shared" si="148"/>
        <v>0</v>
      </c>
      <c r="AA138" s="75">
        <v>500</v>
      </c>
      <c r="AB138" s="8">
        <f t="shared" si="149"/>
        <v>0</v>
      </c>
      <c r="AC138" s="75">
        <v>500</v>
      </c>
      <c r="AD138" s="852" t="s">
        <v>211</v>
      </c>
      <c r="AE138" s="735"/>
      <c r="AF138" s="735"/>
      <c r="AG138" s="735"/>
      <c r="AH138" s="736"/>
      <c r="AI138" s="802"/>
      <c r="AJ138" s="795"/>
      <c r="AK138" s="122"/>
      <c r="AL138" s="122"/>
      <c r="AM138" s="122"/>
    </row>
    <row r="139" spans="1:39" ht="174" customHeight="1" x14ac:dyDescent="0.25">
      <c r="A139" s="2">
        <v>6043</v>
      </c>
      <c r="B139" s="120" t="s">
        <v>317</v>
      </c>
      <c r="C139" s="75">
        <v>13656.04</v>
      </c>
      <c r="D139" s="77">
        <v>8235.6</v>
      </c>
      <c r="E139" s="77">
        <v>5671.36</v>
      </c>
      <c r="F139" s="77">
        <v>6477.34</v>
      </c>
      <c r="G139" s="338">
        <v>7028.34</v>
      </c>
      <c r="H139" s="77">
        <v>7334.24</v>
      </c>
      <c r="I139" s="77">
        <v>8595.6</v>
      </c>
      <c r="J139" s="8">
        <f t="shared" si="150"/>
        <v>3.3887105030480577E-2</v>
      </c>
      <c r="K139" s="77">
        <v>8886.8799999999992</v>
      </c>
      <c r="L139" s="8">
        <f t="shared" si="151"/>
        <v>-1.0841825252506904E-2</v>
      </c>
      <c r="M139" s="77">
        <v>8790.5300000000007</v>
      </c>
      <c r="N139" s="8">
        <f t="shared" si="152"/>
        <v>0.299386953915179</v>
      </c>
      <c r="O139" s="77">
        <v>11422.3</v>
      </c>
      <c r="P139" s="8">
        <f t="shared" si="153"/>
        <v>0.3168100995421238</v>
      </c>
      <c r="Q139" s="77">
        <v>15041</v>
      </c>
      <c r="R139" s="8">
        <f t="shared" si="144"/>
        <v>0</v>
      </c>
      <c r="S139" s="576">
        <v>15041</v>
      </c>
      <c r="T139" s="8">
        <f t="shared" si="145"/>
        <v>5.445116681071737E-2</v>
      </c>
      <c r="U139" s="521">
        <v>15860</v>
      </c>
      <c r="V139" s="8">
        <f t="shared" si="146"/>
        <v>3.0000000000000068E-2</v>
      </c>
      <c r="W139" s="77">
        <f>U139*1.03</f>
        <v>16335.800000000001</v>
      </c>
      <c r="X139" s="8">
        <f t="shared" si="147"/>
        <v>2.9999999999999919E-2</v>
      </c>
      <c r="Y139" s="77">
        <f>W139*1.03</f>
        <v>16825.874</v>
      </c>
      <c r="Z139" s="8">
        <f t="shared" si="148"/>
        <v>2.9999999999999985E-2</v>
      </c>
      <c r="AA139" s="77">
        <f>Y139*1.03</f>
        <v>17330.65022</v>
      </c>
      <c r="AB139" s="8">
        <f t="shared" si="149"/>
        <v>2.9999999999999961E-2</v>
      </c>
      <c r="AC139" s="77">
        <f>AA139*1.03</f>
        <v>17850.569726599999</v>
      </c>
      <c r="AD139" s="711" t="s">
        <v>318</v>
      </c>
      <c r="AE139" s="767"/>
      <c r="AF139" s="767"/>
      <c r="AG139" s="767"/>
      <c r="AH139" s="768"/>
      <c r="AI139" s="793"/>
      <c r="AJ139" s="780"/>
      <c r="AK139" s="780"/>
      <c r="AL139" s="780"/>
    </row>
    <row r="140" spans="1:39" ht="39" customHeight="1" x14ac:dyDescent="0.25">
      <c r="A140" s="2">
        <v>6045</v>
      </c>
      <c r="B140" s="3" t="s">
        <v>101</v>
      </c>
      <c r="C140" s="75">
        <v>141.56</v>
      </c>
      <c r="D140" s="77">
        <v>92.26</v>
      </c>
      <c r="E140" s="77">
        <v>151.83000000000001</v>
      </c>
      <c r="F140" s="77">
        <v>295.51</v>
      </c>
      <c r="G140" s="338">
        <v>190.47</v>
      </c>
      <c r="H140" s="77">
        <v>244.18</v>
      </c>
      <c r="I140" s="77">
        <v>410.79</v>
      </c>
      <c r="J140" s="8">
        <f t="shared" si="150"/>
        <v>-0.62572117140144601</v>
      </c>
      <c r="K140" s="77">
        <v>153.75</v>
      </c>
      <c r="L140" s="8">
        <f t="shared" si="151"/>
        <v>0.72266666666666679</v>
      </c>
      <c r="M140" s="77">
        <v>264.86</v>
      </c>
      <c r="N140" s="8">
        <f t="shared" si="152"/>
        <v>-0.48776712225326596</v>
      </c>
      <c r="O140" s="77">
        <v>135.66999999999999</v>
      </c>
      <c r="P140" s="8">
        <f t="shared" si="153"/>
        <v>0.14579494361317905</v>
      </c>
      <c r="Q140" s="77">
        <v>155.44999999999999</v>
      </c>
      <c r="R140" s="8">
        <f t="shared" si="144"/>
        <v>0.43274364747507249</v>
      </c>
      <c r="S140" s="576">
        <v>222.72</v>
      </c>
      <c r="T140" s="8">
        <f t="shared" si="145"/>
        <v>0.12248563218390805</v>
      </c>
      <c r="U140" s="521">
        <v>250</v>
      </c>
      <c r="V140" s="8">
        <f t="shared" si="146"/>
        <v>0.03</v>
      </c>
      <c r="W140" s="75">
        <f>U140*1.03</f>
        <v>257.5</v>
      </c>
      <c r="X140" s="8">
        <f t="shared" si="147"/>
        <v>3.0000000000000089E-2</v>
      </c>
      <c r="Y140" s="75">
        <f>W140*1.03</f>
        <v>265.22500000000002</v>
      </c>
      <c r="Z140" s="8">
        <f t="shared" si="148"/>
        <v>2.9999999999999995E-2</v>
      </c>
      <c r="AA140" s="75">
        <f>Y140*1.03</f>
        <v>273.18175000000002</v>
      </c>
      <c r="AB140" s="8">
        <f t="shared" si="149"/>
        <v>2.9999999999999954E-2</v>
      </c>
      <c r="AC140" s="75">
        <f>AA140*1.03</f>
        <v>281.37720250000001</v>
      </c>
      <c r="AD140" s="852" t="s">
        <v>234</v>
      </c>
      <c r="AE140" s="735"/>
      <c r="AF140" s="735"/>
      <c r="AG140" s="735"/>
      <c r="AH140" s="736"/>
      <c r="AI140" s="575"/>
    </row>
    <row r="141" spans="1:39" ht="264" customHeight="1" x14ac:dyDescent="0.25">
      <c r="A141" s="4">
        <v>6046</v>
      </c>
      <c r="B141" s="5" t="s">
        <v>102</v>
      </c>
      <c r="C141" s="75">
        <v>18064.38</v>
      </c>
      <c r="D141" s="77">
        <v>17044.54</v>
      </c>
      <c r="E141" s="77">
        <v>27467.18</v>
      </c>
      <c r="F141" s="77">
        <v>17235.669999999998</v>
      </c>
      <c r="G141" s="338">
        <v>20025.43</v>
      </c>
      <c r="H141" s="77">
        <v>21759.3</v>
      </c>
      <c r="I141" s="77">
        <v>16057.51</v>
      </c>
      <c r="J141" s="8">
        <f t="shared" si="150"/>
        <v>0.54977951126918168</v>
      </c>
      <c r="K141" s="77">
        <v>24885.599999999999</v>
      </c>
      <c r="L141" s="8">
        <f t="shared" si="151"/>
        <v>-0.35122882309448034</v>
      </c>
      <c r="M141" s="77">
        <v>16145.06</v>
      </c>
      <c r="N141" s="8">
        <f t="shared" si="152"/>
        <v>0.26589433548094582</v>
      </c>
      <c r="O141" s="77">
        <v>20437.939999999999</v>
      </c>
      <c r="P141" s="8">
        <f t="shared" si="153"/>
        <v>-0.22336840209923303</v>
      </c>
      <c r="Q141" s="77">
        <v>15872.75</v>
      </c>
      <c r="R141" s="8">
        <f t="shared" si="144"/>
        <v>0.27158935912176524</v>
      </c>
      <c r="S141" s="576">
        <v>20183.62</v>
      </c>
      <c r="T141" s="8">
        <f t="shared" si="145"/>
        <v>2.0629599645653311E-2</v>
      </c>
      <c r="U141" s="521">
        <v>20600</v>
      </c>
      <c r="V141" s="8">
        <f t="shared" si="146"/>
        <v>0.03</v>
      </c>
      <c r="W141" s="75">
        <f>U141*1.03</f>
        <v>21218</v>
      </c>
      <c r="X141" s="8">
        <f t="shared" si="147"/>
        <v>3.0000000000000041E-2</v>
      </c>
      <c r="Y141" s="75">
        <f>W141*1.03</f>
        <v>21854.54</v>
      </c>
      <c r="Z141" s="8">
        <f t="shared" si="148"/>
        <v>3.0000000000000037E-2</v>
      </c>
      <c r="AA141" s="75">
        <f>Y141*1.03</f>
        <v>22510.176200000002</v>
      </c>
      <c r="AB141" s="8">
        <f t="shared" si="149"/>
        <v>2.9999999999999947E-2</v>
      </c>
      <c r="AC141" s="75">
        <f>AA141*1.03</f>
        <v>23185.481486000001</v>
      </c>
      <c r="AD141" s="723" t="s">
        <v>447</v>
      </c>
      <c r="AE141" s="735"/>
      <c r="AF141" s="735"/>
      <c r="AG141" s="735"/>
      <c r="AH141" s="736"/>
      <c r="AI141" s="791"/>
      <c r="AJ141" s="660"/>
    </row>
    <row r="142" spans="1:39" ht="173.25" customHeight="1" x14ac:dyDescent="0.25">
      <c r="A142" s="4">
        <v>6048</v>
      </c>
      <c r="B142" s="5" t="s">
        <v>70</v>
      </c>
      <c r="C142" s="75">
        <v>3137.43</v>
      </c>
      <c r="D142" s="77">
        <v>2288.63</v>
      </c>
      <c r="E142" s="77">
        <v>1362.25</v>
      </c>
      <c r="F142" s="77">
        <v>2278.84</v>
      </c>
      <c r="G142" s="338">
        <v>1608.35</v>
      </c>
      <c r="H142" s="77">
        <v>2153.7399999999998</v>
      </c>
      <c r="I142" s="77">
        <v>1620.21</v>
      </c>
      <c r="J142" s="8">
        <f t="shared" si="150"/>
        <v>0.15236296529462223</v>
      </c>
      <c r="K142" s="77">
        <v>1867.07</v>
      </c>
      <c r="L142" s="8">
        <f t="shared" si="151"/>
        <v>-5.5745097934196325E-2</v>
      </c>
      <c r="M142" s="77">
        <v>1762.99</v>
      </c>
      <c r="N142" s="8">
        <f t="shared" si="152"/>
        <v>8.0386162144992335E-2</v>
      </c>
      <c r="O142" s="77">
        <v>1904.71</v>
      </c>
      <c r="P142" s="8">
        <f t="shared" si="153"/>
        <v>0.10180552420053439</v>
      </c>
      <c r="Q142" s="77">
        <v>2098.62</v>
      </c>
      <c r="R142" s="8">
        <f t="shared" si="144"/>
        <v>0.78399138481478314</v>
      </c>
      <c r="S142" s="77">
        <v>3743.92</v>
      </c>
      <c r="T142" s="8">
        <f t="shared" si="145"/>
        <v>-0.19870082694074662</v>
      </c>
      <c r="U142" s="521">
        <v>3000</v>
      </c>
      <c r="V142" s="8">
        <f t="shared" si="146"/>
        <v>0</v>
      </c>
      <c r="W142" s="77">
        <v>3000</v>
      </c>
      <c r="X142" s="8">
        <f t="shared" si="147"/>
        <v>0.03</v>
      </c>
      <c r="Y142" s="75">
        <f>W142*1.03</f>
        <v>3090</v>
      </c>
      <c r="Z142" s="8">
        <f t="shared" si="148"/>
        <v>3.0000000000000089E-2</v>
      </c>
      <c r="AA142" s="75">
        <f>Y142*1.03</f>
        <v>3182.7000000000003</v>
      </c>
      <c r="AB142" s="8">
        <f t="shared" si="149"/>
        <v>3.0000000000000068E-2</v>
      </c>
      <c r="AC142" s="75">
        <f>AA142*1.03</f>
        <v>3278.1810000000005</v>
      </c>
      <c r="AD142" s="723" t="s">
        <v>474</v>
      </c>
      <c r="AE142" s="735"/>
      <c r="AF142" s="735"/>
      <c r="AG142" s="735"/>
      <c r="AH142" s="736"/>
      <c r="AI142" s="414"/>
    </row>
    <row r="143" spans="1:39" ht="99.75" customHeight="1" x14ac:dyDescent="0.25">
      <c r="A143" s="2">
        <v>6072</v>
      </c>
      <c r="B143" s="51" t="s">
        <v>177</v>
      </c>
      <c r="C143" s="75">
        <v>4616.55</v>
      </c>
      <c r="D143" s="77">
        <v>4286.5200000000004</v>
      </c>
      <c r="E143" s="77">
        <v>3001.41</v>
      </c>
      <c r="F143" s="77">
        <v>2223.79</v>
      </c>
      <c r="G143" s="338">
        <v>5058.91</v>
      </c>
      <c r="H143" s="77">
        <v>3411.8</v>
      </c>
      <c r="I143" s="77">
        <v>3536.38</v>
      </c>
      <c r="J143" s="8">
        <f>(K143-I143)/I143</f>
        <v>-0.61041234256499588</v>
      </c>
      <c r="K143" s="77">
        <v>1377.73</v>
      </c>
      <c r="L143" s="8">
        <f>(M143-K143)/K143</f>
        <v>0.5379501063343326</v>
      </c>
      <c r="M143" s="77">
        <v>2118.88</v>
      </c>
      <c r="N143" s="8">
        <f>(O143-M143)/M143</f>
        <v>2.1945556142867931E-2</v>
      </c>
      <c r="O143" s="77">
        <v>2165.38</v>
      </c>
      <c r="P143" s="8">
        <f>(Q143-O143)/O143</f>
        <v>0.6063416120957984</v>
      </c>
      <c r="Q143" s="77">
        <v>3478.34</v>
      </c>
      <c r="R143" s="8">
        <f>(S143-Q143)/Q143</f>
        <v>3.0549055008998478E-2</v>
      </c>
      <c r="S143" s="77">
        <v>3584.6</v>
      </c>
      <c r="T143" s="8">
        <f>(U143-S143)/S143</f>
        <v>3.2193271215756318E-2</v>
      </c>
      <c r="U143" s="521">
        <v>3700</v>
      </c>
      <c r="V143" s="8">
        <f>(W143-U143)/U143</f>
        <v>0.03</v>
      </c>
      <c r="W143" s="75">
        <f>U143*1.03</f>
        <v>3811</v>
      </c>
      <c r="X143" s="8">
        <f>(Y143-W143)/W143</f>
        <v>2.9999999999999982E-2</v>
      </c>
      <c r="Y143" s="75">
        <f>W143*1.03</f>
        <v>3925.33</v>
      </c>
      <c r="Z143" s="8">
        <f t="shared" si="148"/>
        <v>3.0000000000000006E-2</v>
      </c>
      <c r="AA143" s="75">
        <f>Y143*1.03</f>
        <v>4043.0898999999999</v>
      </c>
      <c r="AB143" s="8">
        <f t="shared" si="149"/>
        <v>2.9999999999999968E-2</v>
      </c>
      <c r="AC143" s="75">
        <f>AA143*1.03</f>
        <v>4164.3825969999998</v>
      </c>
      <c r="AD143" s="711" t="s">
        <v>375</v>
      </c>
      <c r="AE143" s="861"/>
      <c r="AF143" s="861"/>
      <c r="AG143" s="861"/>
      <c r="AH143" s="862"/>
      <c r="AI143" s="414"/>
    </row>
    <row r="144" spans="1:39" s="7" customFormat="1" ht="36" customHeight="1" x14ac:dyDescent="0.25">
      <c r="A144" s="2">
        <v>6073</v>
      </c>
      <c r="B144" s="3" t="s">
        <v>103</v>
      </c>
      <c r="C144" s="75">
        <v>615.41</v>
      </c>
      <c r="D144" s="77">
        <v>348.41</v>
      </c>
      <c r="E144" s="77">
        <v>743.4</v>
      </c>
      <c r="F144" s="77">
        <v>520.79999999999995</v>
      </c>
      <c r="G144" s="338">
        <v>556.13</v>
      </c>
      <c r="H144" s="77">
        <v>878.66</v>
      </c>
      <c r="I144" s="77">
        <v>571</v>
      </c>
      <c r="J144" s="8">
        <f>(K144-I144)/I144</f>
        <v>-0.73015761821366021</v>
      </c>
      <c r="K144" s="77">
        <v>154.08000000000001</v>
      </c>
      <c r="L144" s="8">
        <f>(M144-K144)/K144</f>
        <v>4.5868380062305292</v>
      </c>
      <c r="M144" s="77">
        <v>860.82</v>
      </c>
      <c r="N144" s="8">
        <f>(O144-M144)/M144</f>
        <v>-0.62784321925605824</v>
      </c>
      <c r="O144" s="77">
        <v>320.36</v>
      </c>
      <c r="P144" s="8">
        <f>(Q144-O144)/O144</f>
        <v>0.22540267199400668</v>
      </c>
      <c r="Q144" s="77">
        <v>392.57</v>
      </c>
      <c r="R144" s="8">
        <f>(S144-Q144)/Q144</f>
        <v>1.8619354510023691</v>
      </c>
      <c r="S144" s="77">
        <v>1123.51</v>
      </c>
      <c r="T144" s="8">
        <f>(U144-S144)/S144</f>
        <v>0.15708805440093992</v>
      </c>
      <c r="U144" s="521">
        <v>1300</v>
      </c>
      <c r="V144" s="8">
        <f>(W144-U144)/U144</f>
        <v>-0.23076923076923078</v>
      </c>
      <c r="W144" s="75">
        <v>1000</v>
      </c>
      <c r="X144" s="8">
        <f>(Y144-W144)/W144</f>
        <v>0</v>
      </c>
      <c r="Y144" s="75">
        <v>1000</v>
      </c>
      <c r="Z144" s="8">
        <f t="shared" si="148"/>
        <v>0</v>
      </c>
      <c r="AA144" s="75">
        <v>1000</v>
      </c>
      <c r="AB144" s="8">
        <f t="shared" si="149"/>
        <v>0</v>
      </c>
      <c r="AC144" s="75">
        <v>1000</v>
      </c>
      <c r="AD144" s="723" t="s">
        <v>509</v>
      </c>
      <c r="AE144" s="724"/>
      <c r="AF144" s="724"/>
      <c r="AG144" s="724"/>
      <c r="AH144" s="725"/>
      <c r="AI144" s="127"/>
    </row>
    <row r="145" spans="1:39" ht="39.75" customHeight="1" x14ac:dyDescent="0.25">
      <c r="A145" s="2">
        <v>6080</v>
      </c>
      <c r="B145" s="3" t="s">
        <v>18</v>
      </c>
      <c r="C145" s="76">
        <v>0</v>
      </c>
      <c r="D145" s="108">
        <v>0</v>
      </c>
      <c r="E145" s="108">
        <v>0</v>
      </c>
      <c r="F145" s="111">
        <v>0</v>
      </c>
      <c r="G145" s="347">
        <v>0</v>
      </c>
      <c r="H145" s="111">
        <v>0</v>
      </c>
      <c r="I145" s="111">
        <v>0</v>
      </c>
      <c r="J145" s="8" t="e">
        <f>(K145-I145)/I145</f>
        <v>#DIV/0!</v>
      </c>
      <c r="K145" s="111">
        <v>0</v>
      </c>
      <c r="L145" s="8" t="e">
        <f>(M145-K145)/K145</f>
        <v>#DIV/0!</v>
      </c>
      <c r="M145" s="111">
        <v>0</v>
      </c>
      <c r="N145" s="8" t="e">
        <f>(O145-M145)/M145</f>
        <v>#DIV/0!</v>
      </c>
      <c r="O145" s="111">
        <v>0</v>
      </c>
      <c r="P145" s="8" t="e">
        <f>(Q145-O145)/O145</f>
        <v>#DIV/0!</v>
      </c>
      <c r="Q145" s="111">
        <v>0</v>
      </c>
      <c r="R145" s="8" t="e">
        <f>(S145-Q145)/Q145</f>
        <v>#DIV/0!</v>
      </c>
      <c r="S145" s="111">
        <v>0</v>
      </c>
      <c r="T145" s="8" t="e">
        <f>(U145-S145)/S145</f>
        <v>#DIV/0!</v>
      </c>
      <c r="U145" s="549">
        <v>0</v>
      </c>
      <c r="V145" s="8" t="e">
        <f>(W145-U145)/U145</f>
        <v>#DIV/0!</v>
      </c>
      <c r="W145" s="85">
        <v>0</v>
      </c>
      <c r="X145" s="8" t="e">
        <f>(Y145-W145)/W145</f>
        <v>#DIV/0!</v>
      </c>
      <c r="Y145" s="85">
        <v>0</v>
      </c>
      <c r="Z145" s="8" t="e">
        <f t="shared" si="148"/>
        <v>#DIV/0!</v>
      </c>
      <c r="AA145" s="85">
        <v>0</v>
      </c>
      <c r="AB145" s="8" t="e">
        <f t="shared" si="149"/>
        <v>#DIV/0!</v>
      </c>
      <c r="AC145" s="85">
        <v>0</v>
      </c>
      <c r="AD145" s="863"/>
      <c r="AE145" s="730"/>
      <c r="AF145" s="730"/>
      <c r="AG145" s="730"/>
      <c r="AH145" s="731"/>
    </row>
    <row r="146" spans="1:39" ht="40.15" customHeight="1" x14ac:dyDescent="0.25">
      <c r="A146" s="922" t="s">
        <v>105</v>
      </c>
      <c r="B146" s="924"/>
      <c r="C146" s="87">
        <f t="shared" ref="C146:I146" si="156">SUM(C127:C145)</f>
        <v>86520.88</v>
      </c>
      <c r="D146" s="87">
        <f t="shared" si="156"/>
        <v>78991.950000000026</v>
      </c>
      <c r="E146" s="87">
        <f t="shared" si="156"/>
        <v>90765.18</v>
      </c>
      <c r="F146" s="90">
        <f t="shared" si="156"/>
        <v>72724.639999999985</v>
      </c>
      <c r="G146" s="90">
        <f t="shared" si="156"/>
        <v>72383.310000000012</v>
      </c>
      <c r="H146" s="90">
        <f t="shared" si="156"/>
        <v>77510.320000000022</v>
      </c>
      <c r="I146" s="90">
        <f t="shared" si="156"/>
        <v>77122.700000000012</v>
      </c>
      <c r="J146" s="52">
        <f>(K146-I146)/I146</f>
        <v>-3.1933140307588016E-2</v>
      </c>
      <c r="K146" s="90">
        <f>SUM(K127:K145)</f>
        <v>74659.929999999993</v>
      </c>
      <c r="L146" s="52">
        <f>(M146-K146)/K146</f>
        <v>2.1098064249457805E-2</v>
      </c>
      <c r="M146" s="90">
        <f>SUM(M127:M145)</f>
        <v>76235.110000000015</v>
      </c>
      <c r="N146" s="52">
        <f>(O146-M146)/M146</f>
        <v>0.22251938772043472</v>
      </c>
      <c r="O146" s="90">
        <f>SUM(O127:O145)</f>
        <v>93198.900000000009</v>
      </c>
      <c r="P146" s="52">
        <f>(Q146-O146)/O146</f>
        <v>-0.14460449640500059</v>
      </c>
      <c r="Q146" s="90">
        <f>SUM(Q127:Q145)</f>
        <v>79721.919999999998</v>
      </c>
      <c r="R146" s="52">
        <f>(S146-Q146)/Q146</f>
        <v>0.28250912672449435</v>
      </c>
      <c r="S146" s="90">
        <f>SUM(S127:S145)</f>
        <v>102244.09</v>
      </c>
      <c r="T146" s="52">
        <f>(U146-S146)/S146</f>
        <v>4.7649795699683022E-2</v>
      </c>
      <c r="U146" s="90">
        <f>SUM(U127:U145)</f>
        <v>107116</v>
      </c>
      <c r="V146" s="52">
        <f>(W146-U146)/U146</f>
        <v>8.8651928750139969E-2</v>
      </c>
      <c r="W146" s="90">
        <f>SUM(W127:W145)</f>
        <v>116612.04</v>
      </c>
      <c r="X146" s="52">
        <f>(Y146-W146)/W146</f>
        <v>3.7477787027823319E-2</v>
      </c>
      <c r="Y146" s="90">
        <f>SUM(Y127:Y145)</f>
        <v>120982.40120000001</v>
      </c>
      <c r="Z146" s="52">
        <f t="shared" si="148"/>
        <v>2.8184446681324405E-2</v>
      </c>
      <c r="AA146" s="90">
        <f>SUM(AA127:AA145)</f>
        <v>124392.22323600001</v>
      </c>
      <c r="AB146" s="52">
        <f t="shared" si="149"/>
        <v>2.3733671770451808E-2</v>
      </c>
      <c r="AC146" s="90">
        <f>SUM(AC127:AC145)</f>
        <v>127344.50743308</v>
      </c>
      <c r="AD146" s="842"/>
      <c r="AE146" s="843"/>
      <c r="AF146" s="843"/>
      <c r="AG146" s="843"/>
      <c r="AH146" s="844"/>
    </row>
    <row r="147" spans="1:39" ht="72.75" customHeight="1" x14ac:dyDescent="0.25">
      <c r="A147" s="886" t="s">
        <v>106</v>
      </c>
      <c r="B147" s="939"/>
      <c r="C147" s="80" t="str">
        <f>C3</f>
        <v xml:space="preserve">2013/14 Actual Audit Figures </v>
      </c>
      <c r="D147" s="80" t="str">
        <f>D3</f>
        <v xml:space="preserve">2014/15 Actuals </v>
      </c>
      <c r="E147" s="80" t="str">
        <f>E39</f>
        <v>2015/16 Expenditure Audited Year End</v>
      </c>
      <c r="F147" s="80" t="str">
        <f>F3</f>
        <v>2016/17 Income Audited Year End</v>
      </c>
      <c r="G147" s="319" t="str">
        <f>G3</f>
        <v>2017/18 Audited Figures</v>
      </c>
      <c r="H147" s="319" t="str">
        <f>H3</f>
        <v>2018/19 Actual as at 16/5/19</v>
      </c>
      <c r="I147" s="80" t="str">
        <f>I3</f>
        <v>2019/20 Audited Figures</v>
      </c>
      <c r="J147" s="23" t="str">
        <f>J39</f>
        <v>2020/21  % change</v>
      </c>
      <c r="K147" s="80" t="str">
        <f>K3</f>
        <v>2020/21              Audited Figures</v>
      </c>
      <c r="L147" s="23" t="str">
        <f>L39</f>
        <v>2021/22  % change</v>
      </c>
      <c r="M147" s="80" t="str">
        <f>M3</f>
        <v>2021/22 Audited Figures</v>
      </c>
      <c r="N147" s="23" t="str">
        <f>N39</f>
        <v>2022/23  % change</v>
      </c>
      <c r="O147" s="80" t="str">
        <f>O3</f>
        <v>2022/23 - Audited Figures</v>
      </c>
      <c r="P147" s="23" t="str">
        <f>P39</f>
        <v>2023/24  % change</v>
      </c>
      <c r="Q147" s="80" t="str">
        <f>Q3</f>
        <v>2023/24 - Audited Figures</v>
      </c>
      <c r="R147" s="23" t="str">
        <f>R39</f>
        <v>2024.25  % change</v>
      </c>
      <c r="S147" s="80" t="str">
        <f>S3</f>
        <v>2024/25 Actuals @ 20/5/25</v>
      </c>
      <c r="T147" s="23" t="str">
        <f>T39</f>
        <v>2025/26  % change</v>
      </c>
      <c r="U147" s="80" t="str">
        <f>U3</f>
        <v>2025/26 - To Jan 26 Finance</v>
      </c>
      <c r="V147" s="23" t="str">
        <f>V39</f>
        <v>2026/27  % change</v>
      </c>
      <c r="W147" s="80" t="str">
        <f>W3</f>
        <v>2026/27 Approved Budget @ 21/1/26</v>
      </c>
      <c r="X147" s="23" t="str">
        <f>X39</f>
        <v>2027/28  % change</v>
      </c>
      <c r="Y147" s="80" t="str">
        <f>Y3</f>
        <v>2027/28 Estimated Projection</v>
      </c>
      <c r="Z147" s="23" t="str">
        <f>Z39</f>
        <v>2028/29  % change</v>
      </c>
      <c r="AA147" s="80" t="str">
        <f>AA3</f>
        <v>2028/29 Estimated Projection</v>
      </c>
      <c r="AB147" s="23" t="str">
        <f>AB39</f>
        <v>2028/29  % change</v>
      </c>
      <c r="AC147" s="80" t="str">
        <f>AC3</f>
        <v>2029/30 Estimated Projection</v>
      </c>
      <c r="AD147" s="893" t="str">
        <f>AD3</f>
        <v xml:space="preserve"> DETAILS </v>
      </c>
      <c r="AE147" s="925"/>
      <c r="AF147" s="925"/>
      <c r="AG147" s="925"/>
      <c r="AH147" s="926"/>
    </row>
    <row r="148" spans="1:39" ht="36" customHeight="1" x14ac:dyDescent="0.25">
      <c r="A148" s="2">
        <v>7010</v>
      </c>
      <c r="B148" s="3" t="s">
        <v>94</v>
      </c>
      <c r="C148" s="76">
        <v>0</v>
      </c>
      <c r="D148" s="108">
        <v>0</v>
      </c>
      <c r="E148" s="108">
        <v>0</v>
      </c>
      <c r="F148" s="111">
        <v>0</v>
      </c>
      <c r="G148" s="338">
        <v>0</v>
      </c>
      <c r="H148" s="77">
        <v>0</v>
      </c>
      <c r="I148" s="77">
        <v>0</v>
      </c>
      <c r="J148" s="8" t="e">
        <f t="shared" ref="J148:J151" si="157">(K148-I148)/I148</f>
        <v>#DIV/0!</v>
      </c>
      <c r="K148" s="77">
        <v>0</v>
      </c>
      <c r="L148" s="8" t="e">
        <f t="shared" ref="L148:L162" si="158">(M148-K148)/K148</f>
        <v>#DIV/0!</v>
      </c>
      <c r="M148" s="77">
        <v>0</v>
      </c>
      <c r="N148" s="8" t="e">
        <f t="shared" ref="N148:N162" si="159">(O148-M148)/M148</f>
        <v>#DIV/0!</v>
      </c>
      <c r="O148" s="77">
        <v>0</v>
      </c>
      <c r="P148" s="8" t="e">
        <f t="shared" ref="P148:P162" si="160">(Q148-O148)/O148</f>
        <v>#DIV/0!</v>
      </c>
      <c r="Q148" s="77">
        <v>0</v>
      </c>
      <c r="R148" s="8" t="e">
        <f t="shared" ref="R148:R162" si="161">(S148-Q148)/Q148</f>
        <v>#DIV/0!</v>
      </c>
      <c r="S148" s="77">
        <v>0</v>
      </c>
      <c r="T148" s="8" t="e">
        <f t="shared" ref="T148:T162" si="162">(U148-S148)/S148</f>
        <v>#DIV/0!</v>
      </c>
      <c r="U148" s="521">
        <v>0</v>
      </c>
      <c r="V148" s="8" t="e">
        <f t="shared" ref="V148:V162" si="163">(W148-U148)/U148</f>
        <v>#DIV/0!</v>
      </c>
      <c r="W148" s="75">
        <v>0</v>
      </c>
      <c r="X148" s="8" t="e">
        <f t="shared" ref="X148:X162" si="164">(Y148-W148)/W148</f>
        <v>#DIV/0!</v>
      </c>
      <c r="Y148" s="75">
        <v>0</v>
      </c>
      <c r="Z148" s="8" t="e">
        <f t="shared" ref="Z148:Z163" si="165">(AA148-Y148)/Y148</f>
        <v>#DIV/0!</v>
      </c>
      <c r="AA148" s="75">
        <v>0</v>
      </c>
      <c r="AB148" s="8" t="e">
        <f t="shared" ref="AB148:AB163" si="166">(AC148-AA148)/AA148</f>
        <v>#DIV/0!</v>
      </c>
      <c r="AC148" s="75">
        <v>0</v>
      </c>
      <c r="AD148" s="1065"/>
      <c r="AE148" s="918"/>
      <c r="AF148" s="918"/>
      <c r="AG148" s="918"/>
      <c r="AH148" s="919"/>
    </row>
    <row r="149" spans="1:39" ht="65.25" customHeight="1" x14ac:dyDescent="0.25">
      <c r="A149" s="2">
        <v>7011</v>
      </c>
      <c r="B149" s="3" t="s">
        <v>95</v>
      </c>
      <c r="C149" s="75">
        <v>5082</v>
      </c>
      <c r="D149" s="77">
        <v>5181</v>
      </c>
      <c r="E149" s="77">
        <v>5280</v>
      </c>
      <c r="F149" s="77">
        <v>5083</v>
      </c>
      <c r="G149" s="338">
        <v>4333.8</v>
      </c>
      <c r="H149" s="77">
        <v>4464</v>
      </c>
      <c r="I149" s="77">
        <v>4566.3</v>
      </c>
      <c r="J149" s="8">
        <f t="shared" si="157"/>
        <v>-3.6699297023848609E-2</v>
      </c>
      <c r="K149" s="77">
        <v>4398.72</v>
      </c>
      <c r="L149" s="8">
        <f t="shared" si="158"/>
        <v>-1.3053797468354446E-2</v>
      </c>
      <c r="M149" s="77">
        <v>4341.3</v>
      </c>
      <c r="N149" s="8">
        <f t="shared" si="159"/>
        <v>0</v>
      </c>
      <c r="O149" s="77">
        <v>4341.3</v>
      </c>
      <c r="P149" s="8">
        <f t="shared" si="160"/>
        <v>-5.7471264367816091E-2</v>
      </c>
      <c r="Q149" s="77">
        <v>4091.8</v>
      </c>
      <c r="R149" s="8">
        <f t="shared" si="161"/>
        <v>0</v>
      </c>
      <c r="S149" s="77">
        <v>4091.8</v>
      </c>
      <c r="T149" s="8">
        <f t="shared" si="162"/>
        <v>4.8878244293420523E-5</v>
      </c>
      <c r="U149" s="521">
        <v>4092</v>
      </c>
      <c r="V149" s="8">
        <f t="shared" si="163"/>
        <v>3.0000000000000054E-2</v>
      </c>
      <c r="W149" s="75">
        <f>U149*1.03</f>
        <v>4214.76</v>
      </c>
      <c r="X149" s="8">
        <f t="shared" si="164"/>
        <v>2.9999999999999954E-2</v>
      </c>
      <c r="Y149" s="75">
        <f>W149*1.03</f>
        <v>4341.2028</v>
      </c>
      <c r="Z149" s="8">
        <f t="shared" si="165"/>
        <v>3.0000000000000027E-2</v>
      </c>
      <c r="AA149" s="75">
        <f>Y149*1.03</f>
        <v>4471.4388840000001</v>
      </c>
      <c r="AB149" s="8">
        <f t="shared" si="166"/>
        <v>2.9999999999999954E-2</v>
      </c>
      <c r="AC149" s="75">
        <f>AA149*1.03</f>
        <v>4605.5820505199999</v>
      </c>
      <c r="AD149" s="723" t="s">
        <v>426</v>
      </c>
      <c r="AE149" s="735"/>
      <c r="AF149" s="735"/>
      <c r="AG149" s="735"/>
      <c r="AH149" s="736"/>
      <c r="AI149" s="785"/>
      <c r="AJ149" s="786"/>
      <c r="AK149" s="786"/>
      <c r="AL149" s="787"/>
      <c r="AM149" s="154"/>
    </row>
    <row r="150" spans="1:39" ht="55.5" customHeight="1" x14ac:dyDescent="0.25">
      <c r="A150" s="2">
        <v>7012</v>
      </c>
      <c r="B150" s="3" t="s">
        <v>48</v>
      </c>
      <c r="C150" s="75">
        <v>664.66</v>
      </c>
      <c r="D150" s="77">
        <v>862.29</v>
      </c>
      <c r="E150" s="77">
        <v>1067.6199999999999</v>
      </c>
      <c r="F150" s="77">
        <v>1038.8499999999999</v>
      </c>
      <c r="G150" s="338">
        <v>979.93</v>
      </c>
      <c r="H150" s="77">
        <v>1049.6300000000001</v>
      </c>
      <c r="I150" s="77">
        <v>1089.22</v>
      </c>
      <c r="J150" s="8">
        <f t="shared" si="157"/>
        <v>-0.51816896494739351</v>
      </c>
      <c r="K150" s="77">
        <v>524.82000000000005</v>
      </c>
      <c r="L150" s="8">
        <f t="shared" si="158"/>
        <v>1.3250828855607635</v>
      </c>
      <c r="M150" s="77">
        <v>1220.25</v>
      </c>
      <c r="N150" s="8">
        <f t="shared" si="159"/>
        <v>-0.22406064331079695</v>
      </c>
      <c r="O150" s="77">
        <v>946.84</v>
      </c>
      <c r="P150" s="8">
        <f t="shared" si="160"/>
        <v>0.30668328334248657</v>
      </c>
      <c r="Q150" s="77">
        <v>1237.22</v>
      </c>
      <c r="R150" s="8">
        <f t="shared" si="161"/>
        <v>8.1375988102358562E-2</v>
      </c>
      <c r="S150" s="77">
        <v>1337.9</v>
      </c>
      <c r="T150" s="8">
        <f t="shared" si="162"/>
        <v>0.1547948277150758</v>
      </c>
      <c r="U150" s="521">
        <v>1545</v>
      </c>
      <c r="V150" s="8">
        <f t="shared" si="163"/>
        <v>3.0000000000000089E-2</v>
      </c>
      <c r="W150" s="75">
        <f>U150*1.03</f>
        <v>1591.3500000000001</v>
      </c>
      <c r="X150" s="8">
        <f t="shared" si="164"/>
        <v>3.0000000000000068E-2</v>
      </c>
      <c r="Y150" s="75">
        <f>W150*1.03</f>
        <v>1639.0905000000002</v>
      </c>
      <c r="Z150" s="8">
        <f t="shared" si="165"/>
        <v>3.0000000000000089E-2</v>
      </c>
      <c r="AA150" s="75">
        <f>Y150*1.03</f>
        <v>1688.2632150000004</v>
      </c>
      <c r="AB150" s="8">
        <f t="shared" si="166"/>
        <v>2.9999999999999971E-2</v>
      </c>
      <c r="AC150" s="75">
        <f>AA150*1.03</f>
        <v>1738.9111114500004</v>
      </c>
      <c r="AD150" s="723" t="s">
        <v>376</v>
      </c>
      <c r="AE150" s="724"/>
      <c r="AF150" s="724"/>
      <c r="AG150" s="724"/>
      <c r="AH150" s="725"/>
      <c r="AI150" s="840"/>
      <c r="AJ150" s="841"/>
      <c r="AK150" s="841"/>
      <c r="AL150" s="659"/>
      <c r="AM150" s="659"/>
    </row>
    <row r="151" spans="1:39" ht="31.15" customHeight="1" x14ac:dyDescent="0.25">
      <c r="A151" s="2">
        <v>7025</v>
      </c>
      <c r="B151" s="3" t="s">
        <v>56</v>
      </c>
      <c r="C151" s="75"/>
      <c r="D151" s="108">
        <v>0</v>
      </c>
      <c r="E151" s="108">
        <v>0</v>
      </c>
      <c r="F151" s="108">
        <v>0</v>
      </c>
      <c r="G151" s="338">
        <v>0</v>
      </c>
      <c r="H151" s="111">
        <v>0</v>
      </c>
      <c r="I151" s="111">
        <v>0</v>
      </c>
      <c r="J151" s="8" t="e">
        <f t="shared" si="157"/>
        <v>#DIV/0!</v>
      </c>
      <c r="K151" s="111">
        <v>0</v>
      </c>
      <c r="L151" s="8" t="e">
        <f t="shared" si="158"/>
        <v>#DIV/0!</v>
      </c>
      <c r="M151" s="111">
        <v>0</v>
      </c>
      <c r="N151" s="8" t="e">
        <f t="shared" si="159"/>
        <v>#DIV/0!</v>
      </c>
      <c r="O151" s="111">
        <v>0</v>
      </c>
      <c r="P151" s="8" t="e">
        <f t="shared" si="160"/>
        <v>#DIV/0!</v>
      </c>
      <c r="Q151" s="111">
        <v>0</v>
      </c>
      <c r="R151" s="8" t="e">
        <f t="shared" si="161"/>
        <v>#DIV/0!</v>
      </c>
      <c r="S151" s="111">
        <v>0</v>
      </c>
      <c r="T151" s="8" t="e">
        <f t="shared" si="162"/>
        <v>#DIV/0!</v>
      </c>
      <c r="U151" s="549">
        <v>0</v>
      </c>
      <c r="V151" s="8" t="e">
        <f t="shared" si="163"/>
        <v>#DIV/0!</v>
      </c>
      <c r="W151" s="85">
        <v>0</v>
      </c>
      <c r="X151" s="8" t="e">
        <f t="shared" si="164"/>
        <v>#DIV/0!</v>
      </c>
      <c r="Y151" s="85">
        <v>0</v>
      </c>
      <c r="Z151" s="8" t="e">
        <f t="shared" si="165"/>
        <v>#DIV/0!</v>
      </c>
      <c r="AA151" s="85">
        <v>0</v>
      </c>
      <c r="AB151" s="8" t="e">
        <f t="shared" si="166"/>
        <v>#DIV/0!</v>
      </c>
      <c r="AC151" s="85">
        <v>0</v>
      </c>
      <c r="AD151" s="723"/>
      <c r="AE151" s="724"/>
      <c r="AF151" s="724"/>
      <c r="AG151" s="724"/>
      <c r="AH151" s="725"/>
    </row>
    <row r="152" spans="1:39" ht="147.75" customHeight="1" x14ac:dyDescent="0.25">
      <c r="A152" s="2">
        <v>7030</v>
      </c>
      <c r="B152" s="3" t="s">
        <v>57</v>
      </c>
      <c r="C152" s="75">
        <v>2715.86</v>
      </c>
      <c r="D152" s="77">
        <v>3586.4</v>
      </c>
      <c r="E152" s="77">
        <v>2755.1</v>
      </c>
      <c r="F152" s="77">
        <v>3082.08</v>
      </c>
      <c r="G152" s="338">
        <v>2194.34</v>
      </c>
      <c r="H152" s="77">
        <v>2939.01</v>
      </c>
      <c r="I152" s="77">
        <v>2896</v>
      </c>
      <c r="J152" s="8">
        <f t="shared" ref="J152:J162" si="167">(K152-I152)/I152</f>
        <v>-0.47339433701657463</v>
      </c>
      <c r="K152" s="77">
        <v>1525.05</v>
      </c>
      <c r="L152" s="8">
        <f t="shared" si="158"/>
        <v>0.54032982525163109</v>
      </c>
      <c r="M152" s="77">
        <v>2349.08</v>
      </c>
      <c r="N152" s="8">
        <f t="shared" si="159"/>
        <v>6.335246138913965E-2</v>
      </c>
      <c r="O152" s="77">
        <v>2497.9</v>
      </c>
      <c r="P152" s="8">
        <f t="shared" si="160"/>
        <v>0.29020377116778096</v>
      </c>
      <c r="Q152" s="77">
        <v>3222.8</v>
      </c>
      <c r="R152" s="8">
        <f t="shared" si="161"/>
        <v>0.20458917711306934</v>
      </c>
      <c r="S152" s="77">
        <v>3882.15</v>
      </c>
      <c r="T152" s="8">
        <f t="shared" si="162"/>
        <v>0.41674072356812586</v>
      </c>
      <c r="U152" s="521">
        <v>5500</v>
      </c>
      <c r="V152" s="8">
        <f t="shared" si="163"/>
        <v>0</v>
      </c>
      <c r="W152" s="77">
        <v>5500</v>
      </c>
      <c r="X152" s="8">
        <f t="shared" si="164"/>
        <v>0.10000000000000017</v>
      </c>
      <c r="Y152" s="77">
        <f>W152*1.1</f>
        <v>6050.0000000000009</v>
      </c>
      <c r="Z152" s="8">
        <f t="shared" si="165"/>
        <v>0</v>
      </c>
      <c r="AA152" s="77">
        <f>Y152*1</f>
        <v>6050.0000000000009</v>
      </c>
      <c r="AB152" s="8">
        <f t="shared" si="166"/>
        <v>0</v>
      </c>
      <c r="AC152" s="77">
        <f>AA152*1</f>
        <v>6050.0000000000009</v>
      </c>
      <c r="AD152" s="1062" t="s">
        <v>341</v>
      </c>
      <c r="AE152" s="1063"/>
      <c r="AF152" s="1063"/>
      <c r="AG152" s="1063"/>
      <c r="AH152" s="1064"/>
      <c r="AI152" s="791"/>
      <c r="AJ152" s="792"/>
      <c r="AK152" s="792"/>
      <c r="AL152" s="792"/>
    </row>
    <row r="153" spans="1:39" ht="130.5" customHeight="1" x14ac:dyDescent="0.25">
      <c r="A153" s="2">
        <v>7031</v>
      </c>
      <c r="B153" s="3" t="s">
        <v>58</v>
      </c>
      <c r="C153" s="75">
        <v>1798.7</v>
      </c>
      <c r="D153" s="77">
        <v>1341.41</v>
      </c>
      <c r="E153" s="77">
        <v>1427.83</v>
      </c>
      <c r="F153" s="77">
        <v>1617.45</v>
      </c>
      <c r="G153" s="338">
        <v>1059.4000000000001</v>
      </c>
      <c r="H153" s="77">
        <v>1349.67</v>
      </c>
      <c r="I153" s="77">
        <v>1719.88</v>
      </c>
      <c r="J153" s="8">
        <f t="shared" si="167"/>
        <v>1.737330511431023E-2</v>
      </c>
      <c r="K153" s="77">
        <v>1749.76</v>
      </c>
      <c r="L153" s="8">
        <f t="shared" si="158"/>
        <v>-0.12345693123628382</v>
      </c>
      <c r="M153" s="77">
        <v>1533.74</v>
      </c>
      <c r="N153" s="8">
        <f t="shared" si="159"/>
        <v>-0.14494634031843726</v>
      </c>
      <c r="O153" s="77">
        <v>1311.43</v>
      </c>
      <c r="P153" s="8">
        <f t="shared" si="160"/>
        <v>-0.20725467619316315</v>
      </c>
      <c r="Q153" s="77">
        <v>1039.6300000000001</v>
      </c>
      <c r="R153" s="8">
        <f t="shared" si="161"/>
        <v>2.9128151361542085</v>
      </c>
      <c r="S153" s="77">
        <v>4067.88</v>
      </c>
      <c r="T153" s="8">
        <f t="shared" si="162"/>
        <v>0.35205561619320136</v>
      </c>
      <c r="U153" s="521">
        <v>5500</v>
      </c>
      <c r="V153" s="8">
        <f t="shared" ref="V153" si="168">(W153-U153)/U153</f>
        <v>0</v>
      </c>
      <c r="W153" s="77">
        <v>5500</v>
      </c>
      <c r="X153" s="8">
        <f t="shared" ref="X153" si="169">(Y153-W153)/W153</f>
        <v>0.10000000000000017</v>
      </c>
      <c r="Y153" s="77">
        <f>W153*1.1</f>
        <v>6050.0000000000009</v>
      </c>
      <c r="Z153" s="8">
        <f t="shared" si="165"/>
        <v>0</v>
      </c>
      <c r="AA153" s="77">
        <f>Y153*1</f>
        <v>6050.0000000000009</v>
      </c>
      <c r="AB153" s="8">
        <f t="shared" si="166"/>
        <v>0</v>
      </c>
      <c r="AC153" s="77">
        <f>AA153*1</f>
        <v>6050.0000000000009</v>
      </c>
      <c r="AD153" s="1062" t="s">
        <v>377</v>
      </c>
      <c r="AE153" s="1063"/>
      <c r="AF153" s="1063"/>
      <c r="AG153" s="1063"/>
      <c r="AH153" s="1064"/>
      <c r="AI153" s="791"/>
      <c r="AJ153" s="792"/>
      <c r="AK153" s="792"/>
      <c r="AL153" s="792"/>
    </row>
    <row r="154" spans="1:39" ht="153.75" customHeight="1" x14ac:dyDescent="0.25">
      <c r="A154" s="2">
        <v>7032</v>
      </c>
      <c r="B154" s="3" t="s">
        <v>210</v>
      </c>
      <c r="C154" s="75">
        <v>415.88</v>
      </c>
      <c r="D154" s="77">
        <v>373.88</v>
      </c>
      <c r="E154" s="77">
        <v>753.62</v>
      </c>
      <c r="F154" s="77">
        <v>417.35</v>
      </c>
      <c r="G154" s="338">
        <v>740.52</v>
      </c>
      <c r="H154" s="77">
        <v>365.13</v>
      </c>
      <c r="I154" s="77">
        <v>391.92</v>
      </c>
      <c r="J154" s="8">
        <f t="shared" si="167"/>
        <v>-2.8577260665441896E-2</v>
      </c>
      <c r="K154" s="77">
        <v>380.72</v>
      </c>
      <c r="L154" s="8">
        <f t="shared" si="158"/>
        <v>-4.5440218533305342E-2</v>
      </c>
      <c r="M154" s="77">
        <v>363.42</v>
      </c>
      <c r="N154" s="8">
        <f t="shared" si="159"/>
        <v>0.20175004127455834</v>
      </c>
      <c r="O154" s="77">
        <v>436.74</v>
      </c>
      <c r="P154" s="8">
        <f t="shared" si="160"/>
        <v>3.9474286761001988E-2</v>
      </c>
      <c r="Q154" s="77">
        <v>453.98</v>
      </c>
      <c r="R154" s="8">
        <f t="shared" si="161"/>
        <v>0.14850874487862892</v>
      </c>
      <c r="S154" s="77">
        <v>521.4</v>
      </c>
      <c r="T154" s="8">
        <f t="shared" si="162"/>
        <v>0.15074798619102422</v>
      </c>
      <c r="U154" s="521">
        <v>600</v>
      </c>
      <c r="V154" s="8">
        <f t="shared" si="163"/>
        <v>0.05</v>
      </c>
      <c r="W154" s="75">
        <f>U154*1.05</f>
        <v>630</v>
      </c>
      <c r="X154" s="8">
        <f t="shared" si="164"/>
        <v>0.05</v>
      </c>
      <c r="Y154" s="75">
        <f>W154*1.05</f>
        <v>661.5</v>
      </c>
      <c r="Z154" s="8">
        <f t="shared" si="165"/>
        <v>5.0000000000000072E-2</v>
      </c>
      <c r="AA154" s="75">
        <f>Y154*1.05</f>
        <v>694.57500000000005</v>
      </c>
      <c r="AB154" s="8">
        <f t="shared" si="166"/>
        <v>4.9999999999999982E-2</v>
      </c>
      <c r="AC154" s="75">
        <f>AA154*1.05</f>
        <v>729.30375000000004</v>
      </c>
      <c r="AD154" s="676" t="s">
        <v>338</v>
      </c>
      <c r="AE154" s="706"/>
      <c r="AF154" s="706"/>
      <c r="AG154" s="706"/>
      <c r="AH154" s="707"/>
      <c r="AI154" s="791"/>
      <c r="AJ154" s="792"/>
      <c r="AK154" s="792"/>
      <c r="AL154" s="792"/>
    </row>
    <row r="155" spans="1:39" ht="49.15" customHeight="1" x14ac:dyDescent="0.25">
      <c r="A155" s="2">
        <v>7033</v>
      </c>
      <c r="B155" s="3" t="s">
        <v>59</v>
      </c>
      <c r="C155" s="75">
        <v>554.16</v>
      </c>
      <c r="D155" s="77">
        <v>632.96</v>
      </c>
      <c r="E155" s="77">
        <v>726.02</v>
      </c>
      <c r="F155" s="77">
        <v>529.44000000000005</v>
      </c>
      <c r="G155" s="338">
        <v>453</v>
      </c>
      <c r="H155" s="77">
        <v>568.52</v>
      </c>
      <c r="I155" s="77">
        <v>241.72</v>
      </c>
      <c r="J155" s="8">
        <f t="shared" si="167"/>
        <v>0.10603177229852732</v>
      </c>
      <c r="K155" s="77">
        <v>267.35000000000002</v>
      </c>
      <c r="L155" s="8">
        <f t="shared" si="158"/>
        <v>-0.42775388068075559</v>
      </c>
      <c r="M155" s="77">
        <v>152.99</v>
      </c>
      <c r="N155" s="8">
        <f t="shared" si="159"/>
        <v>1.1138636512190336</v>
      </c>
      <c r="O155" s="77">
        <v>323.39999999999998</v>
      </c>
      <c r="P155" s="8">
        <f t="shared" si="160"/>
        <v>1.0375386518243663</v>
      </c>
      <c r="Q155" s="77">
        <v>658.94</v>
      </c>
      <c r="R155" s="8">
        <f t="shared" si="161"/>
        <v>-0.26821865420220364</v>
      </c>
      <c r="S155" s="77">
        <v>482.2</v>
      </c>
      <c r="T155" s="8">
        <f t="shared" si="162"/>
        <v>0.52426379095810871</v>
      </c>
      <c r="U155" s="521">
        <v>735</v>
      </c>
      <c r="V155" s="8">
        <f t="shared" si="163"/>
        <v>0.05</v>
      </c>
      <c r="W155" s="75">
        <f>U155*1.05</f>
        <v>771.75</v>
      </c>
      <c r="X155" s="8">
        <f t="shared" si="164"/>
        <v>5.0000000000000121E-2</v>
      </c>
      <c r="Y155" s="75">
        <f>W155*1.05</f>
        <v>810.33750000000009</v>
      </c>
      <c r="Z155" s="8">
        <f t="shared" si="165"/>
        <v>5.0000000000000031E-2</v>
      </c>
      <c r="AA155" s="75">
        <f>Y155*1.05</f>
        <v>850.85437500000012</v>
      </c>
      <c r="AB155" s="8">
        <f t="shared" si="166"/>
        <v>5.0000000000000065E-2</v>
      </c>
      <c r="AC155" s="75">
        <f>AA155*1.05</f>
        <v>893.39709375000018</v>
      </c>
      <c r="AD155" s="723" t="s">
        <v>282</v>
      </c>
      <c r="AE155" s="724"/>
      <c r="AF155" s="724"/>
      <c r="AG155" s="724"/>
      <c r="AH155" s="725"/>
      <c r="AI155" s="791"/>
      <c r="AJ155" s="807"/>
      <c r="AK155" s="807"/>
      <c r="AL155" s="807"/>
    </row>
    <row r="156" spans="1:39" ht="120.75" customHeight="1" x14ac:dyDescent="0.25">
      <c r="A156" s="2">
        <v>7035</v>
      </c>
      <c r="B156" s="3" t="s">
        <v>96</v>
      </c>
      <c r="C156" s="75">
        <v>784.29</v>
      </c>
      <c r="D156" s="77">
        <v>1277.95</v>
      </c>
      <c r="E156" s="77">
        <v>1728</v>
      </c>
      <c r="F156" s="77">
        <v>1946</v>
      </c>
      <c r="G156" s="338">
        <v>1490.4</v>
      </c>
      <c r="H156" s="77">
        <v>1666.95</v>
      </c>
      <c r="I156" s="77">
        <v>3169.52</v>
      </c>
      <c r="J156" s="8">
        <f t="shared" si="167"/>
        <v>0.37990295060450796</v>
      </c>
      <c r="K156" s="77">
        <v>4373.63</v>
      </c>
      <c r="L156" s="8">
        <f t="shared" si="158"/>
        <v>-0.25567320509508124</v>
      </c>
      <c r="M156" s="77">
        <v>3255.41</v>
      </c>
      <c r="N156" s="8">
        <f t="shared" si="159"/>
        <v>-8.780153651920955E-2</v>
      </c>
      <c r="O156" s="77">
        <v>2969.58</v>
      </c>
      <c r="P156" s="8">
        <f t="shared" si="160"/>
        <v>7.0191744287070923E-2</v>
      </c>
      <c r="Q156" s="77">
        <v>3178.02</v>
      </c>
      <c r="R156" s="8">
        <f t="shared" si="161"/>
        <v>0.62750391753355861</v>
      </c>
      <c r="S156" s="77">
        <v>5172.24</v>
      </c>
      <c r="T156" s="8">
        <f t="shared" si="162"/>
        <v>0.64841538675699506</v>
      </c>
      <c r="U156" s="521">
        <v>8526</v>
      </c>
      <c r="V156" s="8">
        <f t="shared" si="163"/>
        <v>0</v>
      </c>
      <c r="W156" s="77">
        <v>8526</v>
      </c>
      <c r="X156" s="8">
        <f t="shared" si="164"/>
        <v>5.0000000000000128E-2</v>
      </c>
      <c r="Y156" s="77">
        <f>W156*1.05</f>
        <v>8952.3000000000011</v>
      </c>
      <c r="Z156" s="8">
        <f t="shared" si="165"/>
        <v>4.9999999999999968E-2</v>
      </c>
      <c r="AA156" s="77">
        <f>Y156*1.05</f>
        <v>9399.9150000000009</v>
      </c>
      <c r="AB156" s="8">
        <f t="shared" si="166"/>
        <v>0.05</v>
      </c>
      <c r="AC156" s="77">
        <f>AA156*1.05</f>
        <v>9869.9107500000009</v>
      </c>
      <c r="AD156" s="720" t="s">
        <v>398</v>
      </c>
      <c r="AE156" s="846"/>
      <c r="AF156" s="846"/>
      <c r="AG156" s="846"/>
      <c r="AH156" s="847"/>
      <c r="AI156" s="793"/>
      <c r="AJ156" s="815"/>
      <c r="AK156" s="815"/>
      <c r="AL156" s="815"/>
    </row>
    <row r="157" spans="1:39" ht="63" customHeight="1" x14ac:dyDescent="0.25">
      <c r="A157" s="2">
        <v>7036</v>
      </c>
      <c r="B157" s="3" t="s">
        <v>107</v>
      </c>
      <c r="C157" s="75">
        <v>378.43</v>
      </c>
      <c r="D157" s="77">
        <v>296.76</v>
      </c>
      <c r="E157" s="77">
        <v>389.05</v>
      </c>
      <c r="F157" s="77">
        <v>319.89</v>
      </c>
      <c r="G157" s="338">
        <v>262.5</v>
      </c>
      <c r="H157" s="77">
        <v>253.82</v>
      </c>
      <c r="I157" s="77">
        <v>120.1</v>
      </c>
      <c r="J157" s="8">
        <f t="shared" si="167"/>
        <v>0.49525395503746894</v>
      </c>
      <c r="K157" s="77">
        <v>179.58</v>
      </c>
      <c r="L157" s="8">
        <f t="shared" si="158"/>
        <v>0.91095890410958902</v>
      </c>
      <c r="M157" s="77">
        <v>343.17</v>
      </c>
      <c r="N157" s="8">
        <f t="shared" si="159"/>
        <v>-0.44995191887402752</v>
      </c>
      <c r="O157" s="77">
        <v>188.76</v>
      </c>
      <c r="P157" s="8">
        <f t="shared" si="160"/>
        <v>1.8120364484000846</v>
      </c>
      <c r="Q157" s="77">
        <v>530.79999999999995</v>
      </c>
      <c r="R157" s="8">
        <f t="shared" si="161"/>
        <v>-0.3303315749811605</v>
      </c>
      <c r="S157" s="77">
        <v>355.46</v>
      </c>
      <c r="T157" s="8">
        <f t="shared" si="162"/>
        <v>0.12530242502672601</v>
      </c>
      <c r="U157" s="521">
        <v>400</v>
      </c>
      <c r="V157" s="8">
        <f t="shared" si="163"/>
        <v>0.03</v>
      </c>
      <c r="W157" s="77">
        <f>U157*1.03</f>
        <v>412</v>
      </c>
      <c r="X157" s="8">
        <f t="shared" si="164"/>
        <v>3.0000000000000034E-2</v>
      </c>
      <c r="Y157" s="77">
        <f>W157*1.03</f>
        <v>424.36</v>
      </c>
      <c r="Z157" s="8">
        <f t="shared" si="165"/>
        <v>2.9999999999999971E-2</v>
      </c>
      <c r="AA157" s="77">
        <f>Y157*1.03</f>
        <v>437.0908</v>
      </c>
      <c r="AB157" s="8">
        <f t="shared" si="166"/>
        <v>3.0000000000000034E-2</v>
      </c>
      <c r="AC157" s="77">
        <f>AA157*1.03</f>
        <v>450.20352400000002</v>
      </c>
      <c r="AD157" s="1056" t="s">
        <v>350</v>
      </c>
      <c r="AE157" s="1057"/>
      <c r="AF157" s="1057"/>
      <c r="AG157" s="1057"/>
      <c r="AH157" s="1058"/>
    </row>
    <row r="158" spans="1:39" ht="287.25" customHeight="1" x14ac:dyDescent="0.25">
      <c r="A158" s="2">
        <v>7041</v>
      </c>
      <c r="B158" s="3" t="s">
        <v>98</v>
      </c>
      <c r="C158" s="75">
        <v>10798.33</v>
      </c>
      <c r="D158" s="77">
        <v>9422.26</v>
      </c>
      <c r="E158" s="77">
        <v>8902.9</v>
      </c>
      <c r="F158" s="77">
        <v>9831.0300000000007</v>
      </c>
      <c r="G158" s="338">
        <v>6544.07</v>
      </c>
      <c r="H158" s="77">
        <v>15340.14</v>
      </c>
      <c r="I158" s="77">
        <v>14620.42</v>
      </c>
      <c r="J158" s="8">
        <f t="shared" si="167"/>
        <v>-0.49474023318071575</v>
      </c>
      <c r="K158" s="77">
        <v>7387.11</v>
      </c>
      <c r="L158" s="8">
        <f t="shared" si="158"/>
        <v>2.6653183721374169E-2</v>
      </c>
      <c r="M158" s="77">
        <v>7584</v>
      </c>
      <c r="N158" s="8">
        <f t="shared" si="159"/>
        <v>9.6004746835443092E-2</v>
      </c>
      <c r="O158" s="77">
        <v>8312.1</v>
      </c>
      <c r="P158" s="8">
        <f t="shared" si="160"/>
        <v>0.354354495253907</v>
      </c>
      <c r="Q158" s="77">
        <v>11257.53</v>
      </c>
      <c r="R158" s="8">
        <f t="shared" si="161"/>
        <v>-0.36150825269841613</v>
      </c>
      <c r="S158" s="77">
        <v>7187.84</v>
      </c>
      <c r="T158" s="8">
        <f t="shared" si="162"/>
        <v>0.64263533968480091</v>
      </c>
      <c r="U158" s="630">
        <v>11807</v>
      </c>
      <c r="V158" s="8">
        <f t="shared" si="163"/>
        <v>3.0000000000000079E-2</v>
      </c>
      <c r="W158" s="77">
        <f>U158*1.03</f>
        <v>12161.210000000001</v>
      </c>
      <c r="X158" s="8">
        <f t="shared" si="164"/>
        <v>3.0000000000000068E-2</v>
      </c>
      <c r="Y158" s="75">
        <f>W158*1.03</f>
        <v>12526.046300000002</v>
      </c>
      <c r="Z158" s="8">
        <f t="shared" si="165"/>
        <v>2.9999999999999978E-2</v>
      </c>
      <c r="AA158" s="75">
        <f>Y158*1.03</f>
        <v>12901.827689000002</v>
      </c>
      <c r="AB158" s="8">
        <f t="shared" si="166"/>
        <v>3.0000000000000013E-2</v>
      </c>
      <c r="AC158" s="75">
        <f>AA158*1.03</f>
        <v>13288.882519670002</v>
      </c>
      <c r="AD158" s="711" t="s">
        <v>514</v>
      </c>
      <c r="AE158" s="846"/>
      <c r="AF158" s="846"/>
      <c r="AG158" s="846"/>
      <c r="AH158" s="847"/>
      <c r="AI158" s="791"/>
      <c r="AJ158" s="792"/>
      <c r="AK158" s="792"/>
      <c r="AL158" s="792"/>
    </row>
    <row r="159" spans="1:39" ht="53.25" customHeight="1" x14ac:dyDescent="0.25">
      <c r="A159" s="4">
        <v>7042</v>
      </c>
      <c r="B159" s="5" t="s">
        <v>99</v>
      </c>
      <c r="C159" s="75">
        <v>260</v>
      </c>
      <c r="D159" s="77">
        <v>0</v>
      </c>
      <c r="E159" s="77">
        <v>45.6</v>
      </c>
      <c r="F159" s="77">
        <v>0</v>
      </c>
      <c r="G159" s="338">
        <v>0</v>
      </c>
      <c r="H159" s="77">
        <v>0</v>
      </c>
      <c r="I159" s="77">
        <v>0</v>
      </c>
      <c r="J159" s="8" t="e">
        <f t="shared" si="167"/>
        <v>#DIV/0!</v>
      </c>
      <c r="K159" s="77">
        <v>950</v>
      </c>
      <c r="L159" s="8">
        <f t="shared" si="158"/>
        <v>-1</v>
      </c>
      <c r="M159" s="77">
        <v>0</v>
      </c>
      <c r="N159" s="8" t="e">
        <f t="shared" si="159"/>
        <v>#DIV/0!</v>
      </c>
      <c r="O159" s="77">
        <v>0</v>
      </c>
      <c r="P159" s="8" t="e">
        <f t="shared" si="160"/>
        <v>#DIV/0!</v>
      </c>
      <c r="Q159" s="77">
        <v>0</v>
      </c>
      <c r="R159" s="8" t="e">
        <f t="shared" si="161"/>
        <v>#DIV/0!</v>
      </c>
      <c r="S159" s="77">
        <v>0</v>
      </c>
      <c r="T159" s="8" t="e">
        <f t="shared" si="162"/>
        <v>#DIV/0!</v>
      </c>
      <c r="U159" s="521">
        <v>500</v>
      </c>
      <c r="V159" s="8">
        <f t="shared" si="163"/>
        <v>0</v>
      </c>
      <c r="W159" s="75">
        <v>500</v>
      </c>
      <c r="X159" s="8">
        <f t="shared" si="164"/>
        <v>0</v>
      </c>
      <c r="Y159" s="75">
        <v>500</v>
      </c>
      <c r="Z159" s="8">
        <f t="shared" si="165"/>
        <v>0</v>
      </c>
      <c r="AA159" s="75">
        <v>500</v>
      </c>
      <c r="AB159" s="8">
        <f t="shared" si="166"/>
        <v>0</v>
      </c>
      <c r="AC159" s="75">
        <v>500</v>
      </c>
      <c r="AD159" s="711" t="s">
        <v>389</v>
      </c>
      <c r="AE159" s="767"/>
      <c r="AF159" s="767"/>
      <c r="AG159" s="767"/>
      <c r="AH159" s="768"/>
      <c r="AI159" s="802"/>
      <c r="AJ159" s="795"/>
    </row>
    <row r="160" spans="1:39" ht="148.5" customHeight="1" x14ac:dyDescent="0.25">
      <c r="A160" s="4">
        <v>7043</v>
      </c>
      <c r="B160" s="5" t="s">
        <v>100</v>
      </c>
      <c r="C160" s="75">
        <v>6759.96</v>
      </c>
      <c r="D160" s="77">
        <v>5096.71</v>
      </c>
      <c r="E160" s="77">
        <v>5293.32</v>
      </c>
      <c r="F160" s="77">
        <v>5367.22</v>
      </c>
      <c r="G160" s="338">
        <v>5501.68</v>
      </c>
      <c r="H160" s="77">
        <v>6555.55</v>
      </c>
      <c r="I160" s="77">
        <v>7466.64</v>
      </c>
      <c r="J160" s="8">
        <f t="shared" si="167"/>
        <v>4.4646588023528611E-2</v>
      </c>
      <c r="K160" s="77">
        <v>7800</v>
      </c>
      <c r="L160" s="8">
        <f t="shared" si="158"/>
        <v>3.1141025641025595E-3</v>
      </c>
      <c r="M160" s="77">
        <v>7824.29</v>
      </c>
      <c r="N160" s="8">
        <f t="shared" si="159"/>
        <v>6.8467554244538487E-2</v>
      </c>
      <c r="O160" s="77">
        <v>8360</v>
      </c>
      <c r="P160" s="8">
        <f t="shared" si="160"/>
        <v>6.8181818181818177E-2</v>
      </c>
      <c r="Q160" s="77">
        <v>8930</v>
      </c>
      <c r="R160" s="8">
        <f t="shared" si="161"/>
        <v>6.7189249720044789E-3</v>
      </c>
      <c r="S160" s="77">
        <v>8990</v>
      </c>
      <c r="T160" s="8">
        <f t="shared" si="162"/>
        <v>7.5973303670745271E-2</v>
      </c>
      <c r="U160" s="521">
        <v>9673</v>
      </c>
      <c r="V160" s="8">
        <f t="shared" si="163"/>
        <v>3.0000000000000051E-2</v>
      </c>
      <c r="W160" s="77">
        <f>U160*1.03</f>
        <v>9963.19</v>
      </c>
      <c r="X160" s="8">
        <f t="shared" si="164"/>
        <v>3.0000000000000093E-2</v>
      </c>
      <c r="Y160" s="77">
        <f>W160*1.03</f>
        <v>10262.085700000001</v>
      </c>
      <c r="Z160" s="8">
        <f t="shared" si="165"/>
        <v>2.9999999999999964E-2</v>
      </c>
      <c r="AA160" s="77">
        <f>Y160*1.03</f>
        <v>10569.948271000001</v>
      </c>
      <c r="AB160" s="8">
        <f t="shared" si="166"/>
        <v>3.0000000000000013E-2</v>
      </c>
      <c r="AC160" s="77">
        <f>AA160*1.03</f>
        <v>10887.046719130001</v>
      </c>
      <c r="AD160" s="711" t="s">
        <v>319</v>
      </c>
      <c r="AE160" s="767"/>
      <c r="AF160" s="767"/>
      <c r="AG160" s="767"/>
      <c r="AH160" s="768"/>
      <c r="AI160" s="793"/>
      <c r="AJ160" s="780"/>
      <c r="AK160" s="780"/>
      <c r="AL160" s="780"/>
    </row>
    <row r="161" spans="1:40" s="7" customFormat="1" ht="214.5" customHeight="1" x14ac:dyDescent="0.25">
      <c r="A161" s="4">
        <v>7046</v>
      </c>
      <c r="B161" s="5" t="s">
        <v>102</v>
      </c>
      <c r="C161" s="75">
        <v>4930.6899999999996</v>
      </c>
      <c r="D161" s="77">
        <v>2337.67</v>
      </c>
      <c r="E161" s="77">
        <v>3378.63</v>
      </c>
      <c r="F161" s="77">
        <v>4497.67</v>
      </c>
      <c r="G161" s="338">
        <v>3785.02</v>
      </c>
      <c r="H161" s="77">
        <v>2446.87</v>
      </c>
      <c r="I161" s="77">
        <v>3961.58</v>
      </c>
      <c r="J161" s="8">
        <f t="shared" si="167"/>
        <v>-7.2117690416449956E-2</v>
      </c>
      <c r="K161" s="77">
        <v>3675.88</v>
      </c>
      <c r="L161" s="8">
        <f t="shared" si="158"/>
        <v>0.29183215991816919</v>
      </c>
      <c r="M161" s="77">
        <v>4748.62</v>
      </c>
      <c r="N161" s="8">
        <f t="shared" si="159"/>
        <v>-0.24664428823531886</v>
      </c>
      <c r="O161" s="77">
        <v>3577.4</v>
      </c>
      <c r="P161" s="8">
        <f t="shared" si="160"/>
        <v>-0.36480125230614413</v>
      </c>
      <c r="Q161" s="77">
        <v>2272.36</v>
      </c>
      <c r="R161" s="8">
        <f t="shared" si="161"/>
        <v>1.3770177260645318</v>
      </c>
      <c r="S161" s="77">
        <v>5401.44</v>
      </c>
      <c r="T161" s="8">
        <f t="shared" si="162"/>
        <v>-0.31629343286234779</v>
      </c>
      <c r="U161" s="521">
        <v>3693</v>
      </c>
      <c r="V161" s="8">
        <f t="shared" si="163"/>
        <v>2.9999999999999988E-2</v>
      </c>
      <c r="W161" s="75">
        <f>U161*1.03</f>
        <v>3803.79</v>
      </c>
      <c r="X161" s="8">
        <f t="shared" si="164"/>
        <v>2.9999999999999968E-2</v>
      </c>
      <c r="Y161" s="75">
        <f>W161*1.03</f>
        <v>3917.9036999999998</v>
      </c>
      <c r="Z161" s="8" t="s">
        <v>261</v>
      </c>
      <c r="AA161" s="75">
        <f>Y161*1.03</f>
        <v>4035.4408109999999</v>
      </c>
      <c r="AB161" s="8">
        <f t="shared" si="166"/>
        <v>3.0000000000000034E-2</v>
      </c>
      <c r="AC161" s="75">
        <f>AA161*1.03</f>
        <v>4156.5040353300001</v>
      </c>
      <c r="AD161" s="711" t="s">
        <v>368</v>
      </c>
      <c r="AE161" s="767"/>
      <c r="AF161" s="767"/>
      <c r="AG161" s="767"/>
      <c r="AH161" s="768"/>
      <c r="AI161" s="791"/>
      <c r="AJ161" s="792"/>
      <c r="AK161" s="792"/>
      <c r="AL161" s="792"/>
      <c r="AM161"/>
    </row>
    <row r="162" spans="1:40" ht="159" customHeight="1" x14ac:dyDescent="0.25">
      <c r="A162" s="4">
        <v>7048</v>
      </c>
      <c r="B162" s="5" t="s">
        <v>70</v>
      </c>
      <c r="C162" s="75">
        <v>2111.77</v>
      </c>
      <c r="D162" s="77">
        <v>1665.38</v>
      </c>
      <c r="E162" s="77">
        <v>2224.23</v>
      </c>
      <c r="F162" s="77">
        <v>971.46</v>
      </c>
      <c r="G162" s="338">
        <v>1517.53</v>
      </c>
      <c r="H162" s="77">
        <v>1901.58</v>
      </c>
      <c r="I162" s="77">
        <v>2284.23</v>
      </c>
      <c r="J162" s="8">
        <f t="shared" si="167"/>
        <v>-0.31932861401872842</v>
      </c>
      <c r="K162" s="77">
        <v>1554.81</v>
      </c>
      <c r="L162" s="8">
        <f t="shared" si="158"/>
        <v>-0.14729130890591133</v>
      </c>
      <c r="M162" s="77">
        <v>1325.8</v>
      </c>
      <c r="N162" s="8">
        <f t="shared" si="159"/>
        <v>6.0514406396138198E-2</v>
      </c>
      <c r="O162" s="77">
        <v>1406.03</v>
      </c>
      <c r="P162" s="8">
        <f t="shared" si="160"/>
        <v>0.55441206802130838</v>
      </c>
      <c r="Q162" s="77">
        <v>2185.5500000000002</v>
      </c>
      <c r="R162" s="8">
        <f t="shared" si="161"/>
        <v>0.21622017341172697</v>
      </c>
      <c r="S162" s="77">
        <v>2658.11</v>
      </c>
      <c r="T162" s="8">
        <f t="shared" si="162"/>
        <v>9.1000748652237812E-2</v>
      </c>
      <c r="U162" s="521">
        <v>2900</v>
      </c>
      <c r="V162" s="8">
        <f t="shared" si="163"/>
        <v>-0.2103448275862069</v>
      </c>
      <c r="W162" s="77">
        <v>2290</v>
      </c>
      <c r="X162" s="8">
        <f t="shared" si="164"/>
        <v>3.000000000000012E-2</v>
      </c>
      <c r="Y162" s="75">
        <f>W162*1.03</f>
        <v>2358.7000000000003</v>
      </c>
      <c r="Z162" s="8">
        <f t="shared" si="165"/>
        <v>2.9999999999999982E-2</v>
      </c>
      <c r="AA162" s="75">
        <f>Y162*1.03</f>
        <v>2429.4610000000002</v>
      </c>
      <c r="AB162" s="8">
        <f t="shared" si="166"/>
        <v>3.0000000000000086E-2</v>
      </c>
      <c r="AC162" s="75">
        <f>AA162*1.03</f>
        <v>2502.3448300000005</v>
      </c>
      <c r="AD162" s="723" t="s">
        <v>480</v>
      </c>
      <c r="AE162" s="724"/>
      <c r="AF162" s="724"/>
      <c r="AG162" s="724"/>
      <c r="AH162" s="725"/>
      <c r="AI162" s="575"/>
    </row>
    <row r="163" spans="1:40" ht="30.75" x14ac:dyDescent="0.25">
      <c r="A163" s="2">
        <v>7073</v>
      </c>
      <c r="B163" s="3" t="s">
        <v>146</v>
      </c>
      <c r="C163" s="75">
        <v>97.92</v>
      </c>
      <c r="D163" s="77">
        <v>144.49</v>
      </c>
      <c r="E163" s="77">
        <v>106.94</v>
      </c>
      <c r="F163" s="77">
        <v>152.87</v>
      </c>
      <c r="G163" s="338">
        <v>144.4</v>
      </c>
      <c r="H163" s="77">
        <v>87.6</v>
      </c>
      <c r="I163" s="77">
        <v>44.18</v>
      </c>
      <c r="J163" s="8">
        <f>(K163-I163)/I163</f>
        <v>-1</v>
      </c>
      <c r="K163" s="77">
        <v>0</v>
      </c>
      <c r="L163" s="8" t="e">
        <f>(M163-K163)/K163</f>
        <v>#DIV/0!</v>
      </c>
      <c r="M163" s="77">
        <v>0</v>
      </c>
      <c r="N163" s="8" t="e">
        <f>(O163-M163)/M163</f>
        <v>#DIV/0!</v>
      </c>
      <c r="O163" s="77">
        <v>0</v>
      </c>
      <c r="P163" s="8" t="e">
        <f>(Q163-O163)/O163</f>
        <v>#DIV/0!</v>
      </c>
      <c r="Q163" s="77">
        <v>39.159999999999997</v>
      </c>
      <c r="R163" s="8">
        <f>(S163-Q163)/Q163</f>
        <v>9.7037793667007818E-3</v>
      </c>
      <c r="S163" s="77">
        <v>39.54</v>
      </c>
      <c r="T163" s="8">
        <f>(U163-S163)/S163</f>
        <v>4.0581689428426913</v>
      </c>
      <c r="U163" s="521">
        <v>200</v>
      </c>
      <c r="V163" s="8">
        <f>(W163-U163)/U163</f>
        <v>0</v>
      </c>
      <c r="W163" s="75">
        <v>200</v>
      </c>
      <c r="X163" s="8">
        <f>(Y163-W163)/W163</f>
        <v>0</v>
      </c>
      <c r="Y163" s="75">
        <v>200</v>
      </c>
      <c r="Z163" s="8">
        <f t="shared" si="165"/>
        <v>0</v>
      </c>
      <c r="AA163" s="75">
        <v>200</v>
      </c>
      <c r="AB163" s="8">
        <f t="shared" si="166"/>
        <v>0</v>
      </c>
      <c r="AC163" s="75">
        <v>200</v>
      </c>
      <c r="AD163" s="676" t="s">
        <v>187</v>
      </c>
      <c r="AE163" s="706"/>
      <c r="AF163" s="706"/>
      <c r="AG163" s="706"/>
      <c r="AH163" s="848"/>
    </row>
    <row r="164" spans="1:40" ht="32.450000000000003" customHeight="1" x14ac:dyDescent="0.25">
      <c r="A164" s="2">
        <v>7080</v>
      </c>
      <c r="B164" s="3" t="s">
        <v>18</v>
      </c>
      <c r="C164" s="75">
        <v>0</v>
      </c>
      <c r="D164" s="77">
        <f>C164*1.05</f>
        <v>0</v>
      </c>
      <c r="E164" s="77">
        <v>0</v>
      </c>
      <c r="F164" s="111">
        <f>E164*1.05</f>
        <v>0</v>
      </c>
      <c r="G164" s="347">
        <v>0</v>
      </c>
      <c r="H164" s="111">
        <f>G164*1.05</f>
        <v>0</v>
      </c>
      <c r="I164" s="111">
        <f>H164*1.05</f>
        <v>0</v>
      </c>
      <c r="J164" s="28"/>
      <c r="K164" s="111">
        <f>I164*1.05</f>
        <v>0</v>
      </c>
      <c r="L164" s="28"/>
      <c r="M164" s="111">
        <v>0</v>
      </c>
      <c r="N164" s="28"/>
      <c r="O164" s="111">
        <v>0</v>
      </c>
      <c r="P164" s="28"/>
      <c r="Q164" s="111">
        <v>0</v>
      </c>
      <c r="R164" s="28"/>
      <c r="S164" s="111">
        <f>Q164*1.05</f>
        <v>0</v>
      </c>
      <c r="T164" s="28"/>
      <c r="U164" s="549">
        <f>S164*1.05</f>
        <v>0</v>
      </c>
      <c r="V164" s="28"/>
      <c r="W164" s="85">
        <f>U164*1.05</f>
        <v>0</v>
      </c>
      <c r="X164" s="28"/>
      <c r="Y164" s="85">
        <f>W164*1.05</f>
        <v>0</v>
      </c>
      <c r="Z164" s="28"/>
      <c r="AA164" s="85">
        <f>Y164*1.05</f>
        <v>0</v>
      </c>
      <c r="AB164" s="28"/>
      <c r="AC164" s="85">
        <f>AA164*1.05</f>
        <v>0</v>
      </c>
      <c r="AD164" s="1081"/>
      <c r="AE164" s="918"/>
      <c r="AF164" s="918"/>
      <c r="AG164" s="918"/>
      <c r="AH164" s="919"/>
    </row>
    <row r="165" spans="1:40" ht="49.5" customHeight="1" x14ac:dyDescent="0.25">
      <c r="A165" s="922" t="s">
        <v>108</v>
      </c>
      <c r="B165" s="924"/>
      <c r="C165" s="87">
        <f t="shared" ref="C165:I165" si="170">SUM(C148:C164)</f>
        <v>37352.649999999994</v>
      </c>
      <c r="D165" s="87">
        <f t="shared" si="170"/>
        <v>32219.160000000003</v>
      </c>
      <c r="E165" s="87">
        <f t="shared" si="170"/>
        <v>34078.86</v>
      </c>
      <c r="F165" s="87">
        <f t="shared" si="170"/>
        <v>34854.310000000005</v>
      </c>
      <c r="G165" s="78">
        <f t="shared" si="170"/>
        <v>29006.59</v>
      </c>
      <c r="H165" s="78">
        <f t="shared" si="170"/>
        <v>38988.47</v>
      </c>
      <c r="I165" s="78">
        <f t="shared" si="170"/>
        <v>42571.710000000006</v>
      </c>
      <c r="J165" s="45">
        <f>(K165-I165)/I165</f>
        <v>-0.18332080153698341</v>
      </c>
      <c r="K165" s="78">
        <f>SUM(K148:K164)</f>
        <v>34767.429999999993</v>
      </c>
      <c r="L165" s="45">
        <f>(M165-K165)/K165</f>
        <v>7.8993471763663305E-3</v>
      </c>
      <c r="M165" s="78">
        <f>SUM(M148:M164)</f>
        <v>35042.070000000007</v>
      </c>
      <c r="N165" s="45">
        <f>(O165-M165)/M165</f>
        <v>-1.0575573874488684E-2</v>
      </c>
      <c r="O165" s="78">
        <f>SUM(O148:O164)</f>
        <v>34671.480000000003</v>
      </c>
      <c r="P165" s="45">
        <f>(Q165-O165)/O165</f>
        <v>0.1276642935346286</v>
      </c>
      <c r="Q165" s="78">
        <f>SUM(Q148:Q164)</f>
        <v>39097.790000000008</v>
      </c>
      <c r="R165" s="45">
        <f>(S165-Q165)/Q165</f>
        <v>0.13019073456581534</v>
      </c>
      <c r="S165" s="78">
        <f>SUM(S148:S164)</f>
        <v>44187.96</v>
      </c>
      <c r="T165" s="45">
        <f>(U165-S165)/S165</f>
        <v>0.25986807266051659</v>
      </c>
      <c r="U165" s="78">
        <f>SUM(U148:U164)</f>
        <v>55671</v>
      </c>
      <c r="V165" s="45">
        <f>(W165-U165)/U165</f>
        <v>7.0602288444612622E-3</v>
      </c>
      <c r="W165" s="78">
        <f>SUM(W148:W164)</f>
        <v>56064.05</v>
      </c>
      <c r="X165" s="45">
        <f>(Y165-W165)/W165</f>
        <v>4.6901294144821935E-2</v>
      </c>
      <c r="Y165" s="78">
        <f>SUM(Y148:Y164)</f>
        <v>58693.526500000007</v>
      </c>
      <c r="Z165" s="45">
        <f>(AA165-Y165)/Y165</f>
        <v>2.7009597813142185E-2</v>
      </c>
      <c r="AA165" s="78">
        <f>SUM(AA148:AA164)</f>
        <v>60278.81504500001</v>
      </c>
      <c r="AB165" s="45">
        <f>(AC165-AA165)/AA165</f>
        <v>2.7261175217582572E-2</v>
      </c>
      <c r="AC165" s="78">
        <f>SUM(AC148:AC164)</f>
        <v>61922.086383850008</v>
      </c>
      <c r="AD165" s="842"/>
      <c r="AE165" s="843"/>
      <c r="AF165" s="843"/>
      <c r="AG165" s="843"/>
      <c r="AH165" s="844"/>
    </row>
    <row r="166" spans="1:40" ht="83.25" customHeight="1" x14ac:dyDescent="0.25">
      <c r="A166" s="886" t="s">
        <v>109</v>
      </c>
      <c r="B166" s="939"/>
      <c r="C166" s="91" t="str">
        <f>C3</f>
        <v xml:space="preserve">2013/14 Actual Audit Figures </v>
      </c>
      <c r="D166" s="91" t="str">
        <f>D3</f>
        <v xml:space="preserve">2014/15 Actuals </v>
      </c>
      <c r="E166" s="91" t="str">
        <f>E39</f>
        <v>2015/16 Expenditure Audited Year End</v>
      </c>
      <c r="F166" s="88" t="str">
        <f t="shared" ref="F166:AD166" si="171">F3</f>
        <v>2016/17 Income Audited Year End</v>
      </c>
      <c r="G166" s="319" t="str">
        <f t="shared" si="171"/>
        <v>2017/18 Audited Figures</v>
      </c>
      <c r="H166" s="319" t="str">
        <f t="shared" si="171"/>
        <v>2018/19 Actual as at 16/5/19</v>
      </c>
      <c r="I166" s="80" t="str">
        <f t="shared" si="171"/>
        <v>2019/20 Audited Figures</v>
      </c>
      <c r="J166" s="50" t="str">
        <f t="shared" si="171"/>
        <v>2020/21  % change</v>
      </c>
      <c r="K166" s="80" t="str">
        <f t="shared" si="171"/>
        <v>2020/21              Audited Figures</v>
      </c>
      <c r="L166" s="50" t="str">
        <f t="shared" si="171"/>
        <v>2021/22  % change</v>
      </c>
      <c r="M166" s="80" t="str">
        <f t="shared" si="171"/>
        <v>2021/22 Audited Figures</v>
      </c>
      <c r="N166" s="50" t="str">
        <f t="shared" si="171"/>
        <v>2022/23  % change</v>
      </c>
      <c r="O166" s="80" t="str">
        <f t="shared" si="171"/>
        <v>2022/23 - Audited Figures</v>
      </c>
      <c r="P166" s="50" t="str">
        <f t="shared" si="171"/>
        <v>2023/24  % change</v>
      </c>
      <c r="Q166" s="80" t="str">
        <f t="shared" si="171"/>
        <v>2023/24 - Audited Figures</v>
      </c>
      <c r="R166" s="50" t="str">
        <f t="shared" si="171"/>
        <v>2024.25  % change</v>
      </c>
      <c r="S166" s="80" t="str">
        <f t="shared" si="171"/>
        <v>2024/25 Actuals @ 20/5/25</v>
      </c>
      <c r="T166" s="50" t="str">
        <f t="shared" si="171"/>
        <v>2025/26  % change</v>
      </c>
      <c r="U166" s="80" t="str">
        <f t="shared" si="171"/>
        <v>2025/26 - To Jan 26 Finance</v>
      </c>
      <c r="V166" s="50" t="str">
        <f t="shared" si="171"/>
        <v>2026/27  % change</v>
      </c>
      <c r="W166" s="80" t="str">
        <f t="shared" si="171"/>
        <v>2026/27 Approved Budget @ 21/1/26</v>
      </c>
      <c r="X166" s="50" t="str">
        <f t="shared" si="171"/>
        <v>2027/28  % change</v>
      </c>
      <c r="Y166" s="80" t="str">
        <f t="shared" si="171"/>
        <v>2027/28 Estimated Projection</v>
      </c>
      <c r="Z166" s="50" t="str">
        <f t="shared" ref="Z166:AA166" si="172">Z3</f>
        <v>2028/29  % change</v>
      </c>
      <c r="AA166" s="80" t="str">
        <f t="shared" si="172"/>
        <v>2028/29 Estimated Projection</v>
      </c>
      <c r="AB166" s="50" t="str">
        <f t="shared" ref="AB166:AC166" si="173">AB3</f>
        <v>2028/29  % change</v>
      </c>
      <c r="AC166" s="80" t="str">
        <f t="shared" si="173"/>
        <v>2029/30 Estimated Projection</v>
      </c>
      <c r="AD166" s="893" t="str">
        <f t="shared" si="171"/>
        <v xml:space="preserve"> DETAILS </v>
      </c>
      <c r="AE166" s="925"/>
      <c r="AF166" s="925"/>
      <c r="AG166" s="925"/>
      <c r="AH166" s="926"/>
    </row>
    <row r="167" spans="1:40" ht="27.75" customHeight="1" x14ac:dyDescent="0.25">
      <c r="A167" s="2">
        <v>8010</v>
      </c>
      <c r="B167" s="39" t="s">
        <v>94</v>
      </c>
      <c r="C167" s="76">
        <v>0</v>
      </c>
      <c r="D167" s="108">
        <v>0</v>
      </c>
      <c r="E167" s="108">
        <v>0</v>
      </c>
      <c r="F167" s="77">
        <v>0</v>
      </c>
      <c r="G167" s="338">
        <v>0</v>
      </c>
      <c r="H167" s="77">
        <v>0</v>
      </c>
      <c r="I167" s="77">
        <v>0</v>
      </c>
      <c r="J167" s="8" t="e">
        <f t="shared" ref="J167" si="174">(K167-I167)/I167</f>
        <v>#DIV/0!</v>
      </c>
      <c r="K167" s="77">
        <v>0</v>
      </c>
      <c r="L167" s="8" t="e">
        <f t="shared" ref="L167" si="175">(M167-K167)/K167</f>
        <v>#DIV/0!</v>
      </c>
      <c r="M167" s="77">
        <v>0</v>
      </c>
      <c r="N167" s="8" t="e">
        <f t="shared" ref="N167" si="176">(O167-M167)/M167</f>
        <v>#DIV/0!</v>
      </c>
      <c r="O167" s="77">
        <v>0</v>
      </c>
      <c r="P167" s="8" t="e">
        <f t="shared" ref="P167" si="177">(Q167-O167)/O167</f>
        <v>#DIV/0!</v>
      </c>
      <c r="Q167" s="77">
        <v>0</v>
      </c>
      <c r="R167" s="8" t="e">
        <f t="shared" ref="R167:R181" si="178">(S167-Q167)/Q167</f>
        <v>#DIV/0!</v>
      </c>
      <c r="S167" s="77">
        <v>0</v>
      </c>
      <c r="T167" s="8" t="e">
        <f t="shared" ref="T167:T181" si="179">(U167-S167)/S167</f>
        <v>#DIV/0!</v>
      </c>
      <c r="U167" s="521">
        <v>0</v>
      </c>
      <c r="V167" s="8" t="e">
        <f t="shared" ref="V167:V181" si="180">(W167-U167)/U167</f>
        <v>#DIV/0!</v>
      </c>
      <c r="W167" s="75">
        <v>0</v>
      </c>
      <c r="X167" s="8" t="e">
        <f t="shared" ref="X167:X181" si="181">(Y167-W167)/W167</f>
        <v>#DIV/0!</v>
      </c>
      <c r="Y167" s="75">
        <v>0</v>
      </c>
      <c r="Z167" s="8" t="e">
        <f t="shared" ref="Z167:Z184" si="182">(AA167-Y167)/Y167</f>
        <v>#DIV/0!</v>
      </c>
      <c r="AA167" s="75">
        <v>0</v>
      </c>
      <c r="AB167" s="8" t="e">
        <f t="shared" ref="AB167:AB184" si="183">(AC167-AA167)/AA167</f>
        <v>#DIV/0!</v>
      </c>
      <c r="AC167" s="75">
        <v>0</v>
      </c>
      <c r="AD167" s="949"/>
      <c r="AE167" s="850"/>
      <c r="AF167" s="850"/>
      <c r="AG167" s="850"/>
      <c r="AH167" s="851"/>
    </row>
    <row r="168" spans="1:40" ht="49.5" customHeight="1" x14ac:dyDescent="0.25">
      <c r="A168" s="292">
        <v>8011</v>
      </c>
      <c r="B168" s="293" t="s">
        <v>95</v>
      </c>
      <c r="C168" s="294">
        <v>9537.75</v>
      </c>
      <c r="D168" s="296">
        <v>9760.5</v>
      </c>
      <c r="E168" s="296">
        <v>9983.25</v>
      </c>
      <c r="F168" s="296">
        <v>10064.25</v>
      </c>
      <c r="G168" s="338">
        <v>9553</v>
      </c>
      <c r="H168" s="296">
        <v>9840</v>
      </c>
      <c r="I168" s="296">
        <v>10065.5</v>
      </c>
      <c r="J168" s="295">
        <f>(K168-I168)/I168</f>
        <v>1.6293279022403257E-2</v>
      </c>
      <c r="K168" s="296">
        <v>10229.5</v>
      </c>
      <c r="L168" s="295">
        <f>(M168-K168)/K168</f>
        <v>0</v>
      </c>
      <c r="M168" s="296">
        <v>10229.5</v>
      </c>
      <c r="N168" s="295">
        <f>(O168-M168)/M168</f>
        <v>0</v>
      </c>
      <c r="O168" s="296">
        <v>10229.5</v>
      </c>
      <c r="P168" s="295">
        <f>(Q168-O168)/O168</f>
        <v>-8.5365853658536592E-2</v>
      </c>
      <c r="Q168" s="296">
        <v>9356.25</v>
      </c>
      <c r="R168" s="295">
        <f t="shared" si="178"/>
        <v>0</v>
      </c>
      <c r="S168" s="296">
        <v>9356.25</v>
      </c>
      <c r="T168" s="295">
        <f t="shared" si="179"/>
        <v>-2.6720106880427521E-5</v>
      </c>
      <c r="U168" s="552">
        <v>9356</v>
      </c>
      <c r="V168" s="295">
        <f t="shared" si="180"/>
        <v>3.000000000000003E-2</v>
      </c>
      <c r="W168" s="294">
        <f>U168*1.03</f>
        <v>9636.68</v>
      </c>
      <c r="X168" s="295">
        <f t="shared" si="181"/>
        <v>3.000000000000012E-2</v>
      </c>
      <c r="Y168" s="294">
        <f>W168*1.03</f>
        <v>9925.7804000000015</v>
      </c>
      <c r="Z168" s="295">
        <f t="shared" si="182"/>
        <v>3.0000000000000041E-2</v>
      </c>
      <c r="AA168" s="294">
        <f>Y168*1.03</f>
        <v>10223.553812000002</v>
      </c>
      <c r="AB168" s="295">
        <f t="shared" si="183"/>
        <v>3.0000000000000041E-2</v>
      </c>
      <c r="AC168" s="294">
        <f>AA168*1.03</f>
        <v>10530.260426360002</v>
      </c>
      <c r="AD168" s="723" t="s">
        <v>427</v>
      </c>
      <c r="AE168" s="735"/>
      <c r="AF168" s="735"/>
      <c r="AG168" s="735"/>
      <c r="AH168" s="736"/>
      <c r="AI168" s="785"/>
      <c r="AJ168" s="786"/>
      <c r="AK168" s="786"/>
      <c r="AL168" s="787"/>
    </row>
    <row r="169" spans="1:40" ht="64.5" customHeight="1" x14ac:dyDescent="0.25">
      <c r="A169" s="2">
        <v>8012</v>
      </c>
      <c r="B169" s="39" t="s">
        <v>48</v>
      </c>
      <c r="C169" s="75">
        <v>575.42999999999995</v>
      </c>
      <c r="D169" s="77">
        <v>621.78</v>
      </c>
      <c r="E169" s="77">
        <v>1048.45</v>
      </c>
      <c r="F169" s="77">
        <v>857.35</v>
      </c>
      <c r="G169" s="338">
        <v>1158.3699999999999</v>
      </c>
      <c r="H169" s="77">
        <v>929.89</v>
      </c>
      <c r="I169" s="77">
        <v>1085.1400000000001</v>
      </c>
      <c r="J169" s="8">
        <f>(K169-I169)/I169</f>
        <v>-6.4378789833569969E-2</v>
      </c>
      <c r="K169" s="77">
        <v>1015.28</v>
      </c>
      <c r="L169" s="8">
        <f>(M169-K169)/K169</f>
        <v>-0.25099479946418718</v>
      </c>
      <c r="M169" s="77">
        <v>760.45</v>
      </c>
      <c r="N169" s="8">
        <f>(O169-M169)/M169</f>
        <v>-0.20831086856466574</v>
      </c>
      <c r="O169" s="77">
        <v>602.04</v>
      </c>
      <c r="P169" s="8">
        <f>(Q169-O169)/O169</f>
        <v>0.97679556175669391</v>
      </c>
      <c r="Q169" s="77">
        <v>1190.1099999999999</v>
      </c>
      <c r="R169" s="8">
        <f t="shared" si="178"/>
        <v>0.15798539630790451</v>
      </c>
      <c r="S169" s="77">
        <v>1378.13</v>
      </c>
      <c r="T169" s="8">
        <f t="shared" si="179"/>
        <v>2.999717007829444E-2</v>
      </c>
      <c r="U169" s="521">
        <v>1419.47</v>
      </c>
      <c r="V169" s="8">
        <f t="shared" si="180"/>
        <v>3.0000000000000023E-2</v>
      </c>
      <c r="W169" s="75">
        <f>U169*1.03</f>
        <v>1462.0541000000001</v>
      </c>
      <c r="X169" s="8">
        <f t="shared" si="181"/>
        <v>3.0000000000000006E-2</v>
      </c>
      <c r="Y169" s="75">
        <f>W169*1.03</f>
        <v>1505.9157230000001</v>
      </c>
      <c r="Z169" s="8">
        <f t="shared" si="182"/>
        <v>2.9999999999999964E-2</v>
      </c>
      <c r="AA169" s="75">
        <f>Y169*1.03</f>
        <v>1551.09319469</v>
      </c>
      <c r="AB169" s="8">
        <f t="shared" si="183"/>
        <v>3.0000000000000093E-2</v>
      </c>
      <c r="AC169" s="75">
        <f>AA169*1.03</f>
        <v>1597.6259905307002</v>
      </c>
      <c r="AD169" s="723" t="s">
        <v>300</v>
      </c>
      <c r="AE169" s="724"/>
      <c r="AF169" s="724"/>
      <c r="AG169" s="724"/>
      <c r="AH169" s="725"/>
    </row>
    <row r="170" spans="1:40" ht="27.6" customHeight="1" x14ac:dyDescent="0.25">
      <c r="A170" s="2">
        <v>8025</v>
      </c>
      <c r="B170" s="39" t="s">
        <v>56</v>
      </c>
      <c r="C170" s="75"/>
      <c r="D170" s="108">
        <v>0</v>
      </c>
      <c r="E170" s="108">
        <v>0</v>
      </c>
      <c r="F170" s="108">
        <v>0</v>
      </c>
      <c r="G170" s="338">
        <v>0</v>
      </c>
      <c r="H170" s="111">
        <v>0</v>
      </c>
      <c r="I170" s="111">
        <v>0</v>
      </c>
      <c r="J170" s="8" t="e">
        <f t="shared" ref="J170" si="184">(K170-I170)/I170</f>
        <v>#DIV/0!</v>
      </c>
      <c r="K170" s="111">
        <v>0</v>
      </c>
      <c r="L170" s="8" t="e">
        <f t="shared" ref="L170:L181" si="185">(M170-K170)/K170</f>
        <v>#DIV/0!</v>
      </c>
      <c r="M170" s="111">
        <v>0</v>
      </c>
      <c r="N170" s="8" t="e">
        <f t="shared" ref="N170:N181" si="186">(O170-M170)/M170</f>
        <v>#DIV/0!</v>
      </c>
      <c r="O170" s="111">
        <v>0</v>
      </c>
      <c r="P170" s="8" t="e">
        <f t="shared" ref="P170:P181" si="187">(Q170-O170)/O170</f>
        <v>#DIV/0!</v>
      </c>
      <c r="Q170" s="111">
        <v>0</v>
      </c>
      <c r="R170" s="8" t="e">
        <f t="shared" si="178"/>
        <v>#DIV/0!</v>
      </c>
      <c r="S170" s="111">
        <v>0</v>
      </c>
      <c r="T170" s="8" t="e">
        <f t="shared" si="179"/>
        <v>#DIV/0!</v>
      </c>
      <c r="U170" s="549">
        <v>0</v>
      </c>
      <c r="V170" s="8" t="e">
        <f t="shared" si="180"/>
        <v>#DIV/0!</v>
      </c>
      <c r="W170" s="85">
        <v>0</v>
      </c>
      <c r="X170" s="8" t="e">
        <f t="shared" si="181"/>
        <v>#DIV/0!</v>
      </c>
      <c r="Y170" s="85">
        <v>0</v>
      </c>
      <c r="Z170" s="8" t="e">
        <f t="shared" si="182"/>
        <v>#DIV/0!</v>
      </c>
      <c r="AA170" s="85">
        <v>0</v>
      </c>
      <c r="AB170" s="8" t="e">
        <f t="shared" si="183"/>
        <v>#DIV/0!</v>
      </c>
      <c r="AC170" s="85">
        <v>0</v>
      </c>
      <c r="AD170" s="723"/>
      <c r="AE170" s="724"/>
      <c r="AF170" s="724"/>
      <c r="AG170" s="724"/>
      <c r="AH170" s="725"/>
    </row>
    <row r="171" spans="1:40" ht="126" customHeight="1" x14ac:dyDescent="0.25">
      <c r="A171" s="2">
        <v>8030</v>
      </c>
      <c r="B171" s="313" t="s">
        <v>57</v>
      </c>
      <c r="C171" s="75">
        <v>3828.21</v>
      </c>
      <c r="D171" s="77">
        <v>3565.59</v>
      </c>
      <c r="E171" s="77">
        <v>3515.26</v>
      </c>
      <c r="F171" s="77">
        <v>2339.36</v>
      </c>
      <c r="G171" s="338">
        <v>3088.9</v>
      </c>
      <c r="H171" s="77">
        <v>4353.76</v>
      </c>
      <c r="I171" s="77">
        <v>4437.1499999999996</v>
      </c>
      <c r="J171" s="8">
        <f t="shared" ref="J171:J181" si="188">(K171-I171)/I171</f>
        <v>-0.36512400978105308</v>
      </c>
      <c r="K171" s="77">
        <v>2817.04</v>
      </c>
      <c r="L171" s="8">
        <f t="shared" si="185"/>
        <v>0.58387882316190054</v>
      </c>
      <c r="M171" s="77">
        <v>4461.8500000000004</v>
      </c>
      <c r="N171" s="8">
        <f t="shared" si="186"/>
        <v>-0.14382599146094119</v>
      </c>
      <c r="O171" s="77">
        <v>3820.12</v>
      </c>
      <c r="P171" s="8">
        <f t="shared" si="187"/>
        <v>0.22770227113284411</v>
      </c>
      <c r="Q171" s="77">
        <v>4689.97</v>
      </c>
      <c r="R171" s="8">
        <f t="shared" si="178"/>
        <v>0.27008914769177628</v>
      </c>
      <c r="S171" s="77">
        <v>5956.68</v>
      </c>
      <c r="T171" s="8">
        <f t="shared" si="179"/>
        <v>0.34303001000557348</v>
      </c>
      <c r="U171" s="521">
        <v>8000</v>
      </c>
      <c r="V171" s="8">
        <f t="shared" si="180"/>
        <v>-6.25E-2</v>
      </c>
      <c r="W171" s="77">
        <v>7500</v>
      </c>
      <c r="X171" s="8">
        <f t="shared" si="181"/>
        <v>0.1</v>
      </c>
      <c r="Y171" s="77">
        <f>W171*1.1</f>
        <v>8250</v>
      </c>
      <c r="Z171" s="8">
        <f t="shared" si="182"/>
        <v>0</v>
      </c>
      <c r="AA171" s="77">
        <f>Y171</f>
        <v>8250</v>
      </c>
      <c r="AB171" s="8">
        <f t="shared" si="183"/>
        <v>0</v>
      </c>
      <c r="AC171" s="77">
        <f>AA171</f>
        <v>8250</v>
      </c>
      <c r="AD171" s="711" t="s">
        <v>510</v>
      </c>
      <c r="AE171" s="767"/>
      <c r="AF171" s="767"/>
      <c r="AG171" s="767"/>
      <c r="AH171" s="768"/>
      <c r="AI171" s="791"/>
      <c r="AJ171" s="792"/>
      <c r="AK171" s="792"/>
      <c r="AL171" s="792"/>
    </row>
    <row r="172" spans="1:40" ht="122.25" customHeight="1" x14ac:dyDescent="0.25">
      <c r="A172" s="69">
        <v>8031</v>
      </c>
      <c r="B172" s="313" t="s">
        <v>58</v>
      </c>
      <c r="C172" s="75">
        <v>2798.15</v>
      </c>
      <c r="D172" s="77">
        <v>3344.07</v>
      </c>
      <c r="E172" s="77">
        <v>3561.84</v>
      </c>
      <c r="F172" s="77">
        <v>4045.1</v>
      </c>
      <c r="G172" s="338">
        <v>3743.12</v>
      </c>
      <c r="H172" s="77">
        <v>4188.01</v>
      </c>
      <c r="I172" s="77">
        <v>4056.56</v>
      </c>
      <c r="J172" s="8">
        <f t="shared" si="188"/>
        <v>5.1706371901315516E-2</v>
      </c>
      <c r="K172" s="77">
        <v>4266.3100000000004</v>
      </c>
      <c r="L172" s="8">
        <f t="shared" si="185"/>
        <v>-0.19495770349552666</v>
      </c>
      <c r="M172" s="77">
        <v>3434.56</v>
      </c>
      <c r="N172" s="8">
        <f t="shared" si="186"/>
        <v>-0.10186748812074906</v>
      </c>
      <c r="O172" s="77">
        <v>3084.69</v>
      </c>
      <c r="P172" s="8">
        <f t="shared" si="187"/>
        <v>-0.3962634819057993</v>
      </c>
      <c r="Q172" s="77">
        <v>1862.34</v>
      </c>
      <c r="R172" s="8">
        <f t="shared" si="178"/>
        <v>3.1003629842026701</v>
      </c>
      <c r="S172" s="77">
        <v>7636.27</v>
      </c>
      <c r="T172" s="8">
        <f t="shared" si="179"/>
        <v>2.1441096242013385E-2</v>
      </c>
      <c r="U172" s="521">
        <v>7800</v>
      </c>
      <c r="V172" s="8">
        <f t="shared" si="180"/>
        <v>0</v>
      </c>
      <c r="W172" s="77">
        <f>U172</f>
        <v>7800</v>
      </c>
      <c r="X172" s="8">
        <f t="shared" ref="X172" si="189">(Y172-W172)/W172</f>
        <v>0.1</v>
      </c>
      <c r="Y172" s="77">
        <f>W172*1.1</f>
        <v>8580</v>
      </c>
      <c r="Z172" s="8">
        <f t="shared" si="182"/>
        <v>0</v>
      </c>
      <c r="AA172" s="77">
        <f>Y172</f>
        <v>8580</v>
      </c>
      <c r="AB172" s="8">
        <f t="shared" si="183"/>
        <v>0</v>
      </c>
      <c r="AC172" s="77">
        <f>AA172</f>
        <v>8580</v>
      </c>
      <c r="AD172" s="711" t="s">
        <v>342</v>
      </c>
      <c r="AE172" s="767"/>
      <c r="AF172" s="767"/>
      <c r="AG172" s="767"/>
      <c r="AH172" s="768"/>
      <c r="AI172" s="791"/>
      <c r="AJ172" s="792"/>
      <c r="AK172" s="792"/>
      <c r="AL172" s="792"/>
    </row>
    <row r="173" spans="1:40" ht="151.5" customHeight="1" x14ac:dyDescent="0.25">
      <c r="A173" s="2">
        <v>8032</v>
      </c>
      <c r="B173" s="3" t="s">
        <v>210</v>
      </c>
      <c r="C173" s="75">
        <v>629.92999999999995</v>
      </c>
      <c r="D173" s="77">
        <v>283.12</v>
      </c>
      <c r="E173" s="77">
        <v>440.3</v>
      </c>
      <c r="F173" s="77">
        <v>616.20000000000005</v>
      </c>
      <c r="G173" s="338">
        <v>494.71</v>
      </c>
      <c r="H173" s="77">
        <v>373.54</v>
      </c>
      <c r="I173" s="77">
        <v>396.25</v>
      </c>
      <c r="J173" s="8">
        <f t="shared" si="188"/>
        <v>3.8611987381702781E-3</v>
      </c>
      <c r="K173" s="77">
        <v>397.78</v>
      </c>
      <c r="L173" s="8">
        <f t="shared" si="185"/>
        <v>2.5139524360204822E-4</v>
      </c>
      <c r="M173" s="77">
        <v>397.88</v>
      </c>
      <c r="N173" s="8">
        <f t="shared" si="186"/>
        <v>0.1029958781542174</v>
      </c>
      <c r="O173" s="77">
        <v>438.86</v>
      </c>
      <c r="P173" s="8">
        <f t="shared" si="187"/>
        <v>-0.27386865970924668</v>
      </c>
      <c r="Q173" s="77">
        <v>318.67</v>
      </c>
      <c r="R173" s="8">
        <f t="shared" si="178"/>
        <v>-0.56801707095114073</v>
      </c>
      <c r="S173" s="77">
        <v>137.66</v>
      </c>
      <c r="T173" s="8">
        <f t="shared" si="179"/>
        <v>1.9057097195990123</v>
      </c>
      <c r="U173" s="521">
        <v>400</v>
      </c>
      <c r="V173" s="8">
        <f t="shared" si="180"/>
        <v>0.5</v>
      </c>
      <c r="W173" s="75">
        <v>600</v>
      </c>
      <c r="X173" s="8">
        <f t="shared" si="181"/>
        <v>0</v>
      </c>
      <c r="Y173" s="75">
        <v>600</v>
      </c>
      <c r="Z173" s="8">
        <f t="shared" si="182"/>
        <v>0</v>
      </c>
      <c r="AA173" s="75">
        <v>600</v>
      </c>
      <c r="AB173" s="8">
        <f t="shared" si="183"/>
        <v>0</v>
      </c>
      <c r="AC173" s="75">
        <v>600</v>
      </c>
      <c r="AD173" s="676" t="s">
        <v>390</v>
      </c>
      <c r="AE173" s="706"/>
      <c r="AF173" s="706"/>
      <c r="AG173" s="706"/>
      <c r="AH173" s="707"/>
      <c r="AI173" s="409"/>
      <c r="AJ173" s="122"/>
      <c r="AK173" s="122"/>
      <c r="AL173" s="122"/>
      <c r="AM173" s="122"/>
    </row>
    <row r="174" spans="1:40" ht="79.5" customHeight="1" x14ac:dyDescent="0.25">
      <c r="A174" s="2">
        <v>8033</v>
      </c>
      <c r="B174" s="3" t="s">
        <v>59</v>
      </c>
      <c r="C174" s="75">
        <v>2636.79</v>
      </c>
      <c r="D174" s="77">
        <v>2969.53</v>
      </c>
      <c r="E174" s="77">
        <v>2032.84</v>
      </c>
      <c r="F174" s="77">
        <v>1941.79</v>
      </c>
      <c r="G174" s="338">
        <v>3801.91</v>
      </c>
      <c r="H174" s="77">
        <v>3154.53</v>
      </c>
      <c r="I174" s="77">
        <v>1950.11</v>
      </c>
      <c r="J174" s="8">
        <f t="shared" si="188"/>
        <v>-8.6405382260487402E-3</v>
      </c>
      <c r="K174" s="77">
        <v>1933.26</v>
      </c>
      <c r="L174" s="8">
        <f t="shared" si="185"/>
        <v>0.31125146126232361</v>
      </c>
      <c r="M174" s="77">
        <v>2534.9899999999998</v>
      </c>
      <c r="N174" s="8">
        <f t="shared" si="186"/>
        <v>8.6607836717304681E-2</v>
      </c>
      <c r="O174" s="77">
        <v>2754.54</v>
      </c>
      <c r="P174" s="8">
        <f t="shared" si="187"/>
        <v>0.95798209501404963</v>
      </c>
      <c r="Q174" s="77">
        <v>5393.34</v>
      </c>
      <c r="R174" s="8">
        <f t="shared" si="178"/>
        <v>-0.71172779761706106</v>
      </c>
      <c r="S174" s="77">
        <v>1554.75</v>
      </c>
      <c r="T174" s="8">
        <f t="shared" si="179"/>
        <v>1.5727608940344107</v>
      </c>
      <c r="U174" s="521">
        <v>4000</v>
      </c>
      <c r="V174" s="8">
        <f t="shared" si="180"/>
        <v>0.05</v>
      </c>
      <c r="W174" s="75">
        <f>U174*1.05</f>
        <v>4200</v>
      </c>
      <c r="X174" s="8">
        <f t="shared" si="181"/>
        <v>0.05</v>
      </c>
      <c r="Y174" s="75">
        <f>W174*1.05</f>
        <v>4410</v>
      </c>
      <c r="Z174" s="8">
        <f t="shared" si="182"/>
        <v>0.05</v>
      </c>
      <c r="AA174" s="75">
        <f>Y174*1.05</f>
        <v>4630.5</v>
      </c>
      <c r="AB174" s="8">
        <f t="shared" si="183"/>
        <v>5.0000000000000121E-2</v>
      </c>
      <c r="AC174" s="75">
        <f>AA174*1.05</f>
        <v>4862.0250000000005</v>
      </c>
      <c r="AD174" s="723" t="s">
        <v>475</v>
      </c>
      <c r="AE174" s="724"/>
      <c r="AF174" s="724"/>
      <c r="AG174" s="724"/>
      <c r="AH174" s="725"/>
      <c r="AI174" s="413"/>
    </row>
    <row r="175" spans="1:40" ht="109.5" customHeight="1" x14ac:dyDescent="0.25">
      <c r="A175" s="2">
        <v>8035</v>
      </c>
      <c r="B175" s="3" t="s">
        <v>96</v>
      </c>
      <c r="C175" s="75">
        <v>1290.74</v>
      </c>
      <c r="D175" s="77">
        <v>1148.25</v>
      </c>
      <c r="E175" s="77">
        <v>1728</v>
      </c>
      <c r="F175" s="77">
        <v>1524</v>
      </c>
      <c r="G175" s="338">
        <v>1562.75</v>
      </c>
      <c r="H175" s="77">
        <v>1577.55</v>
      </c>
      <c r="I175" s="77">
        <v>2303.87</v>
      </c>
      <c r="J175" s="8">
        <f t="shared" si="188"/>
        <v>-6.3211031872458134E-2</v>
      </c>
      <c r="K175" s="77">
        <v>2158.2399999999998</v>
      </c>
      <c r="L175" s="8">
        <f t="shared" si="185"/>
        <v>3.4671769590036504E-2</v>
      </c>
      <c r="M175" s="77">
        <v>2233.0700000000002</v>
      </c>
      <c r="N175" s="8">
        <f t="shared" si="186"/>
        <v>7.032470992848408E-2</v>
      </c>
      <c r="O175" s="77">
        <v>2390.11</v>
      </c>
      <c r="P175" s="8">
        <f t="shared" si="187"/>
        <v>4.5106710569806384E-2</v>
      </c>
      <c r="Q175" s="77">
        <v>2497.92</v>
      </c>
      <c r="R175" s="8">
        <f t="shared" si="178"/>
        <v>0.20178788752241852</v>
      </c>
      <c r="S175" s="77">
        <v>3001.97</v>
      </c>
      <c r="T175" s="8">
        <f t="shared" si="179"/>
        <v>0.18455547523792717</v>
      </c>
      <c r="U175" s="521">
        <v>3556</v>
      </c>
      <c r="V175" s="8">
        <f t="shared" si="180"/>
        <v>0</v>
      </c>
      <c r="W175" s="77">
        <v>3556</v>
      </c>
      <c r="X175" s="8">
        <f t="shared" si="181"/>
        <v>5.0000000000000051E-2</v>
      </c>
      <c r="Y175" s="75">
        <f>W175*1.05</f>
        <v>3733.8</v>
      </c>
      <c r="Z175" s="8">
        <f t="shared" si="182"/>
        <v>5.000000000000001E-2</v>
      </c>
      <c r="AA175" s="75">
        <f>Y175*1.05</f>
        <v>3920.4900000000002</v>
      </c>
      <c r="AB175" s="8">
        <f t="shared" si="183"/>
        <v>4.9999999999999996E-2</v>
      </c>
      <c r="AC175" s="75">
        <f>AA175*1.05</f>
        <v>4116.5145000000002</v>
      </c>
      <c r="AD175" s="711" t="s">
        <v>367</v>
      </c>
      <c r="AE175" s="767"/>
      <c r="AF175" s="767"/>
      <c r="AG175" s="767"/>
      <c r="AH175" s="768"/>
      <c r="AI175" s="800"/>
      <c r="AJ175" s="801"/>
      <c r="AK175" s="801"/>
      <c r="AL175" s="801"/>
      <c r="AM175" s="801"/>
      <c r="AN175" s="660"/>
    </row>
    <row r="176" spans="1:40" ht="69" customHeight="1" x14ac:dyDescent="0.25">
      <c r="A176" s="2">
        <v>8036</v>
      </c>
      <c r="B176" s="3" t="s">
        <v>107</v>
      </c>
      <c r="C176" s="75">
        <v>553.99</v>
      </c>
      <c r="D176" s="77">
        <v>463.52</v>
      </c>
      <c r="E176" s="77">
        <v>648.1</v>
      </c>
      <c r="F176" s="77">
        <v>565.72</v>
      </c>
      <c r="G176" s="338">
        <v>388.5</v>
      </c>
      <c r="H176" s="77">
        <v>388.5</v>
      </c>
      <c r="I176" s="77">
        <v>177.75</v>
      </c>
      <c r="J176" s="8">
        <f t="shared" si="188"/>
        <v>0.46694796061884669</v>
      </c>
      <c r="K176" s="77">
        <v>260.75</v>
      </c>
      <c r="L176" s="8">
        <f t="shared" si="185"/>
        <v>0.99907957813998083</v>
      </c>
      <c r="M176" s="77">
        <v>521.26</v>
      </c>
      <c r="N176" s="8">
        <f t="shared" si="186"/>
        <v>-0.4341595365076929</v>
      </c>
      <c r="O176" s="77">
        <v>294.95</v>
      </c>
      <c r="P176" s="8">
        <f t="shared" si="187"/>
        <v>1.7819291405322935</v>
      </c>
      <c r="Q176" s="77">
        <v>820.53</v>
      </c>
      <c r="R176" s="8">
        <f t="shared" si="178"/>
        <v>-0.3277393879565646</v>
      </c>
      <c r="S176" s="77">
        <v>551.61</v>
      </c>
      <c r="T176" s="8">
        <f t="shared" si="179"/>
        <v>8.7725023114156711E-2</v>
      </c>
      <c r="U176" s="521">
        <v>600</v>
      </c>
      <c r="V176" s="8">
        <f t="shared" si="180"/>
        <v>0.03</v>
      </c>
      <c r="W176" s="77">
        <f>U176*1.03</f>
        <v>618</v>
      </c>
      <c r="X176" s="8">
        <f t="shared" si="181"/>
        <v>0</v>
      </c>
      <c r="Y176" s="77">
        <f>W176*1</f>
        <v>618</v>
      </c>
      <c r="Z176" s="8">
        <f t="shared" si="182"/>
        <v>0</v>
      </c>
      <c r="AA176" s="77">
        <f>Y176*1</f>
        <v>618</v>
      </c>
      <c r="AB176" s="8">
        <f t="shared" si="183"/>
        <v>0</v>
      </c>
      <c r="AC176" s="77">
        <f>AA176*1</f>
        <v>618</v>
      </c>
      <c r="AD176" s="950" t="s">
        <v>351</v>
      </c>
      <c r="AE176" s="759"/>
      <c r="AF176" s="759"/>
      <c r="AG176" s="759"/>
      <c r="AH176" s="760"/>
      <c r="AI176" s="796"/>
      <c r="AJ176" s="797"/>
      <c r="AK176" s="797"/>
      <c r="AL176" s="797"/>
      <c r="AM176" s="797"/>
    </row>
    <row r="177" spans="1:40" s="7" customFormat="1" ht="198" customHeight="1" x14ac:dyDescent="0.25">
      <c r="A177" s="2">
        <v>8041</v>
      </c>
      <c r="B177" s="3" t="s">
        <v>98</v>
      </c>
      <c r="C177" s="75">
        <v>12368.82</v>
      </c>
      <c r="D177" s="77">
        <v>19120.66</v>
      </c>
      <c r="E177" s="77">
        <v>21602.080000000002</v>
      </c>
      <c r="F177" s="77">
        <v>15745.05</v>
      </c>
      <c r="G177" s="338">
        <v>20689.46</v>
      </c>
      <c r="H177" s="77">
        <v>17702.64</v>
      </c>
      <c r="I177" s="77">
        <v>20717.48</v>
      </c>
      <c r="J177" s="8">
        <f t="shared" si="188"/>
        <v>-0.13079100353904047</v>
      </c>
      <c r="K177" s="77">
        <v>18007.82</v>
      </c>
      <c r="L177" s="8">
        <f t="shared" si="185"/>
        <v>-0.13610253767529884</v>
      </c>
      <c r="M177" s="77">
        <v>15556.91</v>
      </c>
      <c r="N177" s="8">
        <f t="shared" si="186"/>
        <v>4.2220466660795729E-2</v>
      </c>
      <c r="O177" s="77">
        <v>16213.73</v>
      </c>
      <c r="P177" s="8">
        <f t="shared" si="187"/>
        <v>1.5842067186267441</v>
      </c>
      <c r="Q177" s="77">
        <v>41899.629999999997</v>
      </c>
      <c r="R177" s="8">
        <f t="shared" si="178"/>
        <v>-0.57550269536986365</v>
      </c>
      <c r="S177" s="77">
        <v>17786.28</v>
      </c>
      <c r="T177" s="8">
        <f t="shared" si="179"/>
        <v>0.2935251216105898</v>
      </c>
      <c r="U177" s="630">
        <v>23007</v>
      </c>
      <c r="V177" s="8">
        <f t="shared" si="180"/>
        <v>4.1422175859521015E-2</v>
      </c>
      <c r="W177" s="77">
        <v>23960</v>
      </c>
      <c r="X177" s="8">
        <f t="shared" si="181"/>
        <v>0.05</v>
      </c>
      <c r="Y177" s="75">
        <f>W177*1.05</f>
        <v>25158</v>
      </c>
      <c r="Z177" s="8">
        <f t="shared" si="182"/>
        <v>5.0000000000000058E-2</v>
      </c>
      <c r="AA177" s="75">
        <f>Y177*1.05</f>
        <v>26415.9</v>
      </c>
      <c r="AB177" s="8">
        <f t="shared" si="183"/>
        <v>5.0000000000000072E-2</v>
      </c>
      <c r="AC177" s="75">
        <f>AA177*1.05</f>
        <v>27736.695000000003</v>
      </c>
      <c r="AD177" s="950" t="s">
        <v>515</v>
      </c>
      <c r="AE177" s="951"/>
      <c r="AF177" s="951"/>
      <c r="AG177" s="951"/>
      <c r="AH177" s="952"/>
      <c r="AI177" s="798"/>
      <c r="AJ177" s="799"/>
      <c r="AK177" s="799"/>
      <c r="AL177" s="799"/>
      <c r="AM177" s="799"/>
    </row>
    <row r="178" spans="1:40" ht="27.6" customHeight="1" x14ac:dyDescent="0.25">
      <c r="A178" s="4">
        <v>8042</v>
      </c>
      <c r="B178" s="5" t="s">
        <v>99</v>
      </c>
      <c r="C178" s="75">
        <v>294.97000000000003</v>
      </c>
      <c r="D178" s="77">
        <v>730.13</v>
      </c>
      <c r="E178" s="77">
        <v>629.16999999999996</v>
      </c>
      <c r="F178" s="77">
        <v>0</v>
      </c>
      <c r="G178" s="338">
        <v>580</v>
      </c>
      <c r="H178" s="77">
        <v>40</v>
      </c>
      <c r="I178" s="77">
        <v>0</v>
      </c>
      <c r="J178" s="8" t="e">
        <f t="shared" si="188"/>
        <v>#DIV/0!</v>
      </c>
      <c r="K178" s="77">
        <v>0</v>
      </c>
      <c r="L178" s="8" t="e">
        <f t="shared" si="185"/>
        <v>#DIV/0!</v>
      </c>
      <c r="M178" s="77">
        <v>0</v>
      </c>
      <c r="N178" s="8" t="e">
        <f t="shared" si="186"/>
        <v>#DIV/0!</v>
      </c>
      <c r="O178" s="77">
        <v>0</v>
      </c>
      <c r="P178" s="8" t="e">
        <f t="shared" si="187"/>
        <v>#DIV/0!</v>
      </c>
      <c r="Q178" s="77">
        <v>505</v>
      </c>
      <c r="R178" s="8">
        <f t="shared" si="178"/>
        <v>-1</v>
      </c>
      <c r="S178" s="77">
        <v>0</v>
      </c>
      <c r="T178" s="8" t="e">
        <f t="shared" si="179"/>
        <v>#DIV/0!</v>
      </c>
      <c r="U178" s="521">
        <v>1000</v>
      </c>
      <c r="V178" s="8">
        <f t="shared" si="180"/>
        <v>0</v>
      </c>
      <c r="W178" s="75">
        <v>1000</v>
      </c>
      <c r="X178" s="8">
        <f t="shared" si="181"/>
        <v>0</v>
      </c>
      <c r="Y178" s="75">
        <v>1000</v>
      </c>
      <c r="Z178" s="8">
        <f t="shared" si="182"/>
        <v>0</v>
      </c>
      <c r="AA178" s="75">
        <v>1000</v>
      </c>
      <c r="AB178" s="8">
        <f t="shared" si="183"/>
        <v>0</v>
      </c>
      <c r="AC178" s="75">
        <v>1000</v>
      </c>
      <c r="AD178" s="852" t="s">
        <v>211</v>
      </c>
      <c r="AE178" s="735"/>
      <c r="AF178" s="735"/>
      <c r="AG178" s="735"/>
      <c r="AH178" s="736"/>
    </row>
    <row r="179" spans="1:40" s="7" customFormat="1" ht="136.5" customHeight="1" x14ac:dyDescent="0.25">
      <c r="A179" s="4">
        <v>8043</v>
      </c>
      <c r="B179" s="5" t="s">
        <v>100</v>
      </c>
      <c r="C179" s="75">
        <v>13520.04</v>
      </c>
      <c r="D179" s="77">
        <v>6223.39</v>
      </c>
      <c r="E179" s="77">
        <v>5293.32</v>
      </c>
      <c r="F179" s="77">
        <v>5381.62</v>
      </c>
      <c r="G179" s="338">
        <v>6382.98</v>
      </c>
      <c r="H179" s="77">
        <v>7316.58</v>
      </c>
      <c r="I179" s="77">
        <v>8766.44</v>
      </c>
      <c r="J179" s="8">
        <f t="shared" si="188"/>
        <v>3.0005338541072436E-2</v>
      </c>
      <c r="K179" s="77">
        <v>9029.48</v>
      </c>
      <c r="L179" s="8">
        <f t="shared" si="185"/>
        <v>-3.5323185831299134E-2</v>
      </c>
      <c r="M179" s="77">
        <v>8710.5300000000007</v>
      </c>
      <c r="N179" s="8">
        <f t="shared" si="186"/>
        <v>0.15174621980522413</v>
      </c>
      <c r="O179" s="77">
        <v>10032.32</v>
      </c>
      <c r="P179" s="8">
        <f t="shared" si="187"/>
        <v>0.11748827788587289</v>
      </c>
      <c r="Q179" s="77">
        <v>11211</v>
      </c>
      <c r="R179" s="8">
        <f t="shared" si="178"/>
        <v>-4.9504950495049507E-2</v>
      </c>
      <c r="S179" s="77">
        <v>10656</v>
      </c>
      <c r="T179" s="8">
        <f t="shared" si="179"/>
        <v>8.0142642642642647E-2</v>
      </c>
      <c r="U179" s="521">
        <v>11510</v>
      </c>
      <c r="V179" s="8">
        <f t="shared" si="180"/>
        <v>3.0000000000000096E-2</v>
      </c>
      <c r="W179" s="77">
        <f>U179*1.03</f>
        <v>11855.300000000001</v>
      </c>
      <c r="X179" s="8">
        <f t="shared" si="181"/>
        <v>2.9999999999999968E-2</v>
      </c>
      <c r="Y179" s="77">
        <f>W179*1.03</f>
        <v>12210.959000000001</v>
      </c>
      <c r="Z179" s="8">
        <f t="shared" si="182"/>
        <v>3.0000000000000006E-2</v>
      </c>
      <c r="AA179" s="77">
        <f>Y179*1.03</f>
        <v>12577.287770000001</v>
      </c>
      <c r="AB179" s="8">
        <f t="shared" si="183"/>
        <v>2.9999999999999975E-2</v>
      </c>
      <c r="AC179" s="77">
        <f>AA179*1.03</f>
        <v>12954.606403100001</v>
      </c>
      <c r="AD179" s="845" t="s">
        <v>440</v>
      </c>
      <c r="AE179" s="846"/>
      <c r="AF179" s="846"/>
      <c r="AG179" s="846"/>
      <c r="AH179" s="847"/>
      <c r="AI179" s="793"/>
      <c r="AJ179" s="780"/>
      <c r="AK179" s="780"/>
      <c r="AL179" s="780"/>
      <c r="AM179" s="456"/>
      <c r="AN179" s="456"/>
    </row>
    <row r="180" spans="1:40" ht="324" customHeight="1" x14ac:dyDescent="0.25">
      <c r="A180" s="2">
        <v>8046</v>
      </c>
      <c r="B180" s="3" t="s">
        <v>102</v>
      </c>
      <c r="C180" s="75">
        <v>32728.53</v>
      </c>
      <c r="D180" s="77">
        <v>27510.19</v>
      </c>
      <c r="E180" s="77">
        <v>26681.040000000001</v>
      </c>
      <c r="F180" s="77">
        <v>30413.3</v>
      </c>
      <c r="G180" s="338">
        <v>29570.79</v>
      </c>
      <c r="H180" s="77">
        <v>29335.34</v>
      </c>
      <c r="I180" s="77">
        <v>26959.61</v>
      </c>
      <c r="J180" s="8">
        <f t="shared" si="188"/>
        <v>0.13183202576001654</v>
      </c>
      <c r="K180" s="77">
        <v>30513.75</v>
      </c>
      <c r="L180" s="8">
        <f t="shared" si="185"/>
        <v>-5.3066568350333812E-2</v>
      </c>
      <c r="M180" s="77">
        <v>28894.49</v>
      </c>
      <c r="N180" s="8">
        <f t="shared" si="186"/>
        <v>8.5962756220995709E-2</v>
      </c>
      <c r="O180" s="77">
        <v>31378.34</v>
      </c>
      <c r="P180" s="8">
        <f t="shared" si="187"/>
        <v>-6.1193167006285208E-2</v>
      </c>
      <c r="Q180" s="77">
        <v>29458.2</v>
      </c>
      <c r="R180" s="8">
        <f t="shared" si="178"/>
        <v>0.21257680374225177</v>
      </c>
      <c r="S180" s="77">
        <v>35720.33</v>
      </c>
      <c r="T180" s="8">
        <f t="shared" si="179"/>
        <v>-2.4645069068510893E-2</v>
      </c>
      <c r="U180" s="521">
        <v>34840</v>
      </c>
      <c r="V180" s="8">
        <f t="shared" si="180"/>
        <v>4.8823191733639498E-2</v>
      </c>
      <c r="W180" s="77">
        <v>36541</v>
      </c>
      <c r="X180" s="8">
        <f t="shared" si="181"/>
        <v>1.0000000000000096E-2</v>
      </c>
      <c r="Y180" s="75">
        <f>W180*1.01</f>
        <v>36906.410000000003</v>
      </c>
      <c r="Z180" s="8">
        <f t="shared" si="182"/>
        <v>3.0000000000000065E-2</v>
      </c>
      <c r="AA180" s="75">
        <f>Y180*1.03</f>
        <v>38013.602300000006</v>
      </c>
      <c r="AB180" s="8">
        <f t="shared" si="183"/>
        <v>3.0000000000000117E-2</v>
      </c>
      <c r="AC180" s="75">
        <f>AA180*1.03</f>
        <v>39154.010369000011</v>
      </c>
      <c r="AD180" s="676" t="s">
        <v>481</v>
      </c>
      <c r="AE180" s="706"/>
      <c r="AF180" s="706"/>
      <c r="AG180" s="706"/>
      <c r="AH180" s="707"/>
      <c r="AI180" s="794"/>
      <c r="AJ180" s="795"/>
      <c r="AK180" s="503"/>
      <c r="AL180" s="503"/>
      <c r="AM180" s="503"/>
    </row>
    <row r="181" spans="1:40" ht="156.75" customHeight="1" x14ac:dyDescent="0.25">
      <c r="A181" s="4">
        <v>8048</v>
      </c>
      <c r="B181" s="5" t="s">
        <v>70</v>
      </c>
      <c r="C181" s="75">
        <v>2293.83</v>
      </c>
      <c r="D181" s="77">
        <v>1700.52</v>
      </c>
      <c r="E181" s="77">
        <v>1662.95</v>
      </c>
      <c r="F181" s="77">
        <v>1075.3399999999999</v>
      </c>
      <c r="G181" s="338">
        <v>2148.08</v>
      </c>
      <c r="H181" s="77">
        <v>2263.34</v>
      </c>
      <c r="I181" s="77">
        <v>1816.96</v>
      </c>
      <c r="J181" s="8">
        <f t="shared" si="188"/>
        <v>-0.1039043237055301</v>
      </c>
      <c r="K181" s="77">
        <v>1628.17</v>
      </c>
      <c r="L181" s="8">
        <f t="shared" si="185"/>
        <v>0.16954003574565307</v>
      </c>
      <c r="M181" s="77">
        <v>1904.21</v>
      </c>
      <c r="N181" s="8">
        <f t="shared" si="186"/>
        <v>5.5225001444168371E-2</v>
      </c>
      <c r="O181" s="77">
        <v>2009.37</v>
      </c>
      <c r="P181" s="8">
        <f t="shared" si="187"/>
        <v>1.097025435833122</v>
      </c>
      <c r="Q181" s="77">
        <v>4213.7</v>
      </c>
      <c r="R181" s="8">
        <f t="shared" si="178"/>
        <v>0.27189880627477037</v>
      </c>
      <c r="S181" s="77">
        <v>5359.4</v>
      </c>
      <c r="T181" s="8">
        <f t="shared" si="179"/>
        <v>-0.25364779639511881</v>
      </c>
      <c r="U181" s="521">
        <v>4000</v>
      </c>
      <c r="V181" s="8">
        <f t="shared" si="180"/>
        <v>0.125</v>
      </c>
      <c r="W181" s="77">
        <v>4500</v>
      </c>
      <c r="X181" s="8">
        <f t="shared" si="181"/>
        <v>0.03</v>
      </c>
      <c r="Y181" s="75">
        <f>W181*1.03</f>
        <v>4635</v>
      </c>
      <c r="Z181" s="8">
        <f t="shared" si="182"/>
        <v>3.0000000000000041E-2</v>
      </c>
      <c r="AA181" s="75">
        <f>Y181*1.03</f>
        <v>4774.05</v>
      </c>
      <c r="AB181" s="8">
        <f t="shared" si="183"/>
        <v>3.0000000000000117E-2</v>
      </c>
      <c r="AC181" s="75">
        <f>AA181*1.03</f>
        <v>4917.2715000000007</v>
      </c>
      <c r="AD181" s="723" t="s">
        <v>476</v>
      </c>
      <c r="AE181" s="735"/>
      <c r="AF181" s="735"/>
      <c r="AG181" s="735"/>
      <c r="AH181" s="736"/>
      <c r="AI181" s="413"/>
    </row>
    <row r="182" spans="1:40" ht="37.9" customHeight="1" x14ac:dyDescent="0.25">
      <c r="A182" s="2">
        <v>8073</v>
      </c>
      <c r="B182" s="3" t="s">
        <v>146</v>
      </c>
      <c r="C182" s="75">
        <v>235.52</v>
      </c>
      <c r="D182" s="77">
        <v>187.49</v>
      </c>
      <c r="E182" s="77">
        <v>251.18</v>
      </c>
      <c r="F182" s="77">
        <v>93.85</v>
      </c>
      <c r="G182" s="338">
        <v>125.19</v>
      </c>
      <c r="H182" s="77">
        <v>160.5</v>
      </c>
      <c r="I182" s="77">
        <v>48.07</v>
      </c>
      <c r="J182" s="8">
        <f>(K182-I182)/I182</f>
        <v>-0.19866860827959221</v>
      </c>
      <c r="K182" s="77">
        <v>38.520000000000003</v>
      </c>
      <c r="L182" s="8">
        <f>(M182-K182)/K182</f>
        <v>1.8522845275181721</v>
      </c>
      <c r="M182" s="77">
        <v>109.87</v>
      </c>
      <c r="N182" s="8">
        <f>(O182-M182)/M182</f>
        <v>-0.81414398834986801</v>
      </c>
      <c r="O182" s="77">
        <v>20.420000000000002</v>
      </c>
      <c r="P182" s="8">
        <f>(Q182-O182)/O182</f>
        <v>0.61165523996082238</v>
      </c>
      <c r="Q182" s="77">
        <v>32.909999999999997</v>
      </c>
      <c r="R182" s="8">
        <f>(S182-Q182)/Q182</f>
        <v>3.6247341233667578</v>
      </c>
      <c r="S182" s="77">
        <v>152.19999999999999</v>
      </c>
      <c r="T182" s="8">
        <f>(U182-S182)/S182</f>
        <v>0.31406044678055201</v>
      </c>
      <c r="U182" s="521">
        <v>200</v>
      </c>
      <c r="V182" s="8">
        <f>(W182-U182)/U182</f>
        <v>0</v>
      </c>
      <c r="W182" s="75">
        <v>200</v>
      </c>
      <c r="X182" s="8">
        <f>(Y182-W182)/W182</f>
        <v>0</v>
      </c>
      <c r="Y182" s="75">
        <v>200</v>
      </c>
      <c r="Z182" s="8">
        <f t="shared" si="182"/>
        <v>0</v>
      </c>
      <c r="AA182" s="75">
        <v>200</v>
      </c>
      <c r="AB182" s="8">
        <f t="shared" si="183"/>
        <v>0</v>
      </c>
      <c r="AC182" s="75">
        <v>200</v>
      </c>
      <c r="AD182" s="723" t="s">
        <v>235</v>
      </c>
      <c r="AE182" s="724"/>
      <c r="AF182" s="724"/>
      <c r="AG182" s="724"/>
      <c r="AH182" s="725"/>
    </row>
    <row r="183" spans="1:40" ht="27.75" customHeight="1" thickBot="1" x14ac:dyDescent="0.3">
      <c r="A183" s="2">
        <v>8080</v>
      </c>
      <c r="B183" s="3" t="s">
        <v>18</v>
      </c>
      <c r="C183" s="76">
        <v>0</v>
      </c>
      <c r="D183" s="108">
        <v>0</v>
      </c>
      <c r="E183" s="108">
        <v>0</v>
      </c>
      <c r="F183" s="111">
        <v>0</v>
      </c>
      <c r="G183" s="347">
        <v>0</v>
      </c>
      <c r="H183" s="111">
        <v>0</v>
      </c>
      <c r="I183" s="111">
        <v>0</v>
      </c>
      <c r="J183" s="8" t="e">
        <f t="shared" ref="J183" si="190">(K183-I183)/I183</f>
        <v>#DIV/0!</v>
      </c>
      <c r="K183" s="111">
        <v>0</v>
      </c>
      <c r="L183" s="8" t="e">
        <f t="shared" ref="L183" si="191">(M183-K183)/K183</f>
        <v>#DIV/0!</v>
      </c>
      <c r="M183" s="111">
        <v>0</v>
      </c>
      <c r="N183" s="8" t="e">
        <f t="shared" ref="N183" si="192">(O183-M183)/M183</f>
        <v>#DIV/0!</v>
      </c>
      <c r="O183" s="111">
        <v>0</v>
      </c>
      <c r="P183" s="8" t="e">
        <f t="shared" ref="P183" si="193">(Q183-O183)/O183</f>
        <v>#DIV/0!</v>
      </c>
      <c r="Q183" s="111">
        <v>0</v>
      </c>
      <c r="R183" s="8" t="e">
        <f>(S183-Q183)/Q183</f>
        <v>#DIV/0!</v>
      </c>
      <c r="S183" s="111">
        <v>0</v>
      </c>
      <c r="T183" s="8" t="e">
        <f>(U183-S183)/S183</f>
        <v>#DIV/0!</v>
      </c>
      <c r="U183" s="549">
        <v>0</v>
      </c>
      <c r="V183" s="8" t="e">
        <f>(W183-U183)/U183</f>
        <v>#DIV/0!</v>
      </c>
      <c r="W183" s="85">
        <v>0</v>
      </c>
      <c r="X183" s="8" t="e">
        <f>(Y183-W183)/W183</f>
        <v>#DIV/0!</v>
      </c>
      <c r="Y183" s="85">
        <v>0</v>
      </c>
      <c r="Z183" s="8" t="e">
        <f t="shared" si="182"/>
        <v>#DIV/0!</v>
      </c>
      <c r="AA183" s="85">
        <v>0</v>
      </c>
      <c r="AB183" s="8" t="e">
        <f t="shared" si="183"/>
        <v>#DIV/0!</v>
      </c>
      <c r="AC183" s="85">
        <v>0</v>
      </c>
      <c r="AD183" s="849"/>
      <c r="AE183" s="850"/>
      <c r="AF183" s="850"/>
      <c r="AG183" s="850"/>
      <c r="AH183" s="851"/>
    </row>
    <row r="184" spans="1:40" ht="60.6" customHeight="1" thickBot="1" x14ac:dyDescent="0.3">
      <c r="A184" s="922" t="s">
        <v>110</v>
      </c>
      <c r="B184" s="924"/>
      <c r="C184" s="87">
        <f t="shared" ref="C184:I184" si="194">SUM(C167:C183)</f>
        <v>83292.700000000012</v>
      </c>
      <c r="D184" s="87">
        <f t="shared" si="194"/>
        <v>77628.740000000005</v>
      </c>
      <c r="E184" s="87">
        <f t="shared" si="194"/>
        <v>79077.779999999984</v>
      </c>
      <c r="F184" s="78">
        <f t="shared" si="194"/>
        <v>74662.930000000008</v>
      </c>
      <c r="G184" s="322">
        <f t="shared" si="194"/>
        <v>83287.759999999995</v>
      </c>
      <c r="H184" s="78">
        <f t="shared" si="194"/>
        <v>81624.179999999993</v>
      </c>
      <c r="I184" s="78">
        <f t="shared" si="194"/>
        <v>82780.890000000014</v>
      </c>
      <c r="J184" s="139">
        <f>(K184-I184)/I184</f>
        <v>-5.8587193251971523E-3</v>
      </c>
      <c r="K184" s="78">
        <f>SUM(K167:K183)</f>
        <v>82295.899999999994</v>
      </c>
      <c r="L184" s="139">
        <f>(M184-K184)/K184</f>
        <v>-3.0941152596909292E-2</v>
      </c>
      <c r="M184" s="78">
        <f>SUM(M167:M183)</f>
        <v>79749.570000000007</v>
      </c>
      <c r="N184" s="139">
        <f>(O184-M184)/M184</f>
        <v>4.4130896254362041E-2</v>
      </c>
      <c r="O184" s="78">
        <f>SUM(O167:O183)</f>
        <v>83268.989999999991</v>
      </c>
      <c r="P184" s="139">
        <f>(Q184-O184)/O184</f>
        <v>0.36244681243281568</v>
      </c>
      <c r="Q184" s="78">
        <f>SUM(Q167:Q183)</f>
        <v>113449.56999999999</v>
      </c>
      <c r="R184" s="139">
        <f>(S184-Q184)/Q184</f>
        <v>-0.12518372700751526</v>
      </c>
      <c r="S184" s="78">
        <f>SUM(S167:S183)</f>
        <v>99247.53</v>
      </c>
      <c r="T184" s="139">
        <f>(U184-S184)/S184</f>
        <v>0.1052010060099229</v>
      </c>
      <c r="U184" s="78">
        <f>SUM(U167:U183)</f>
        <v>109688.47</v>
      </c>
      <c r="V184" s="139">
        <f>(W184-U184)/U184</f>
        <v>3.4101707317095435E-2</v>
      </c>
      <c r="W184" s="78">
        <f>SUM(W167:W183)</f>
        <v>113429.0341</v>
      </c>
      <c r="X184" s="139">
        <f>(Y184-W184)/W184</f>
        <v>3.795175597814604E-2</v>
      </c>
      <c r="Y184" s="78">
        <f>SUM(Y167:Y183)</f>
        <v>117733.86512300001</v>
      </c>
      <c r="Z184" s="139">
        <f t="shared" si="182"/>
        <v>3.0752510757269539E-2</v>
      </c>
      <c r="AA184" s="78">
        <f>SUM(AA167:AA183)</f>
        <v>121354.47707668999</v>
      </c>
      <c r="AB184" s="139">
        <f t="shared" si="183"/>
        <v>3.1004477155984922E-2</v>
      </c>
      <c r="AC184" s="78">
        <f>SUM(AC167:AC183)</f>
        <v>125117.00918899072</v>
      </c>
      <c r="AD184" s="842"/>
      <c r="AE184" s="843"/>
      <c r="AF184" s="843"/>
      <c r="AG184" s="843"/>
      <c r="AH184" s="844"/>
    </row>
    <row r="185" spans="1:40" ht="81.75" customHeight="1" x14ac:dyDescent="0.25">
      <c r="A185" s="936" t="s">
        <v>111</v>
      </c>
      <c r="B185" s="937"/>
      <c r="C185" s="91" t="str">
        <f>C3</f>
        <v xml:space="preserve">2013/14 Actual Audit Figures </v>
      </c>
      <c r="D185" s="91" t="str">
        <f>D3</f>
        <v xml:space="preserve">2014/15 Actuals </v>
      </c>
      <c r="E185" s="91" t="str">
        <f>E39</f>
        <v>2015/16 Expenditure Audited Year End</v>
      </c>
      <c r="F185" s="91" t="str">
        <f t="shared" ref="F185:AD185" si="195">F3</f>
        <v>2016/17 Income Audited Year End</v>
      </c>
      <c r="G185" s="91" t="str">
        <f t="shared" si="195"/>
        <v>2017/18 Audited Figures</v>
      </c>
      <c r="H185" s="91" t="str">
        <f t="shared" si="195"/>
        <v>2018/19 Actual as at 16/5/19</v>
      </c>
      <c r="I185" s="91" t="str">
        <f t="shared" si="195"/>
        <v>2019/20 Audited Figures</v>
      </c>
      <c r="J185" s="49" t="str">
        <f t="shared" si="195"/>
        <v>2020/21  % change</v>
      </c>
      <c r="K185" s="91" t="str">
        <f t="shared" si="195"/>
        <v>2020/21              Audited Figures</v>
      </c>
      <c r="L185" s="49" t="str">
        <f t="shared" si="195"/>
        <v>2021/22  % change</v>
      </c>
      <c r="M185" s="91" t="str">
        <f t="shared" si="195"/>
        <v>2021/22 Audited Figures</v>
      </c>
      <c r="N185" s="49" t="str">
        <f t="shared" si="195"/>
        <v>2022/23  % change</v>
      </c>
      <c r="O185" s="91" t="str">
        <f t="shared" si="195"/>
        <v>2022/23 - Audited Figures</v>
      </c>
      <c r="P185" s="49" t="str">
        <f t="shared" si="195"/>
        <v>2023/24  % change</v>
      </c>
      <c r="Q185" s="91" t="str">
        <f t="shared" si="195"/>
        <v>2023/24 - Audited Figures</v>
      </c>
      <c r="R185" s="49" t="str">
        <f t="shared" si="195"/>
        <v>2024.25  % change</v>
      </c>
      <c r="S185" s="91" t="str">
        <f t="shared" si="195"/>
        <v>2024/25 Actuals @ 20/5/25</v>
      </c>
      <c r="T185" s="49" t="str">
        <f t="shared" si="195"/>
        <v>2025/26  % change</v>
      </c>
      <c r="U185" s="91" t="str">
        <f t="shared" si="195"/>
        <v>2025/26 - To Jan 26 Finance</v>
      </c>
      <c r="V185" s="49" t="str">
        <f t="shared" si="195"/>
        <v>2026/27  % change</v>
      </c>
      <c r="W185" s="91" t="str">
        <f t="shared" si="195"/>
        <v>2026/27 Approved Budget @ 21/1/26</v>
      </c>
      <c r="X185" s="49" t="str">
        <f t="shared" si="195"/>
        <v>2027/28  % change</v>
      </c>
      <c r="Y185" s="91" t="str">
        <f t="shared" si="195"/>
        <v>2027/28 Estimated Projection</v>
      </c>
      <c r="Z185" s="49" t="str">
        <f t="shared" ref="Z185:AA185" si="196">Z3</f>
        <v>2028/29  % change</v>
      </c>
      <c r="AA185" s="91" t="str">
        <f t="shared" si="196"/>
        <v>2028/29 Estimated Projection</v>
      </c>
      <c r="AB185" s="49" t="str">
        <f t="shared" ref="AB185:AC185" si="197">AB3</f>
        <v>2028/29  % change</v>
      </c>
      <c r="AC185" s="91" t="str">
        <f t="shared" si="197"/>
        <v>2029/30 Estimated Projection</v>
      </c>
      <c r="AD185" s="940" t="str">
        <f t="shared" si="195"/>
        <v xml:space="preserve"> DETAILS </v>
      </c>
      <c r="AE185" s="941"/>
      <c r="AF185" s="941"/>
      <c r="AG185" s="941"/>
      <c r="AH185" s="942"/>
    </row>
    <row r="186" spans="1:40" ht="32.25" customHeight="1" x14ac:dyDescent="0.25">
      <c r="A186" s="34">
        <v>9010</v>
      </c>
      <c r="B186" s="39" t="s">
        <v>112</v>
      </c>
      <c r="C186" s="76">
        <v>0</v>
      </c>
      <c r="D186" s="108">
        <v>0</v>
      </c>
      <c r="E186" s="108">
        <v>0</v>
      </c>
      <c r="F186" s="77">
        <v>0</v>
      </c>
      <c r="G186" s="338">
        <v>0</v>
      </c>
      <c r="H186" s="77">
        <v>0</v>
      </c>
      <c r="I186" s="77">
        <v>0</v>
      </c>
      <c r="J186" s="8" t="e">
        <f t="shared" ref="J186:J193" si="198">(K186-I186)/I186</f>
        <v>#DIV/0!</v>
      </c>
      <c r="K186" s="77">
        <v>0</v>
      </c>
      <c r="L186" s="8" t="e">
        <f t="shared" ref="L186:L193" si="199">(M186-K186)/K186</f>
        <v>#DIV/0!</v>
      </c>
      <c r="M186" s="77">
        <v>0</v>
      </c>
      <c r="N186" s="8" t="e">
        <f t="shared" ref="N186:N193" si="200">(O186-M186)/M186</f>
        <v>#DIV/0!</v>
      </c>
      <c r="O186" s="77">
        <v>0</v>
      </c>
      <c r="P186" s="8" t="e">
        <f t="shared" ref="P186:P192" si="201">(Q186-O186)/O186</f>
        <v>#DIV/0!</v>
      </c>
      <c r="Q186" s="77">
        <v>0</v>
      </c>
      <c r="R186" s="8" t="e">
        <f t="shared" ref="R186:R204" si="202">(S186-Q186)/Q186</f>
        <v>#DIV/0!</v>
      </c>
      <c r="S186" s="77">
        <v>0</v>
      </c>
      <c r="T186" s="8" t="e">
        <f t="shared" ref="T186:T204" si="203">(U186-S186)/S186</f>
        <v>#DIV/0!</v>
      </c>
      <c r="U186" s="521">
        <v>0</v>
      </c>
      <c r="V186" s="8" t="e">
        <f t="shared" ref="V186:V204" si="204">(W186-U186)/U186</f>
        <v>#DIV/0!</v>
      </c>
      <c r="W186" s="75">
        <v>0</v>
      </c>
      <c r="X186" s="8" t="e">
        <f t="shared" ref="X186:X204" si="205">(Y186-W186)/W186</f>
        <v>#DIV/0!</v>
      </c>
      <c r="Y186" s="75">
        <v>0</v>
      </c>
      <c r="Z186" s="8" t="e">
        <f t="shared" ref="Z186:Z204" si="206">(AA186-Y186)/Y186</f>
        <v>#DIV/0!</v>
      </c>
      <c r="AA186" s="75">
        <v>0</v>
      </c>
      <c r="AB186" s="8" t="e">
        <f t="shared" ref="AB186:AB204" si="207">(AC186-AA186)/AA186</f>
        <v>#DIV/0!</v>
      </c>
      <c r="AC186" s="75">
        <v>0</v>
      </c>
      <c r="AD186" s="943"/>
      <c r="AE186" s="944"/>
      <c r="AF186" s="944"/>
      <c r="AG186" s="944"/>
      <c r="AH186" s="945"/>
    </row>
    <row r="187" spans="1:40" ht="32.25" customHeight="1" x14ac:dyDescent="0.25">
      <c r="A187" s="34">
        <v>9011</v>
      </c>
      <c r="B187" s="3" t="s">
        <v>35</v>
      </c>
      <c r="C187" s="75"/>
      <c r="D187" s="77"/>
      <c r="E187" s="77"/>
      <c r="F187" s="77"/>
      <c r="G187" s="338"/>
      <c r="H187" s="77"/>
      <c r="I187" s="77"/>
      <c r="J187" s="8"/>
      <c r="K187" s="360"/>
      <c r="L187" s="361"/>
      <c r="M187" s="360"/>
      <c r="N187" s="361"/>
      <c r="O187" s="360"/>
      <c r="P187" s="361"/>
      <c r="Q187" s="360"/>
      <c r="R187" s="361"/>
      <c r="S187" s="360"/>
      <c r="T187" s="361"/>
      <c r="U187" s="628">
        <v>991</v>
      </c>
      <c r="V187" s="8">
        <f t="shared" ref="V187" si="208">(W187-U187)/U187</f>
        <v>-1</v>
      </c>
      <c r="W187" s="75">
        <v>0</v>
      </c>
      <c r="X187" s="8" t="e">
        <f t="shared" si="205"/>
        <v>#DIV/0!</v>
      </c>
      <c r="Y187" s="75">
        <v>0</v>
      </c>
      <c r="Z187" s="8" t="e">
        <f t="shared" ref="Z187" si="209">(AA187-Y187)/Y187</f>
        <v>#DIV/0!</v>
      </c>
      <c r="AA187" s="75">
        <v>0</v>
      </c>
      <c r="AB187" s="8" t="e">
        <f t="shared" ref="AB187" si="210">(AC187-AA187)/AA187</f>
        <v>#DIV/0!</v>
      </c>
      <c r="AC187" s="75">
        <v>0</v>
      </c>
      <c r="AD187" s="946" t="s">
        <v>524</v>
      </c>
      <c r="AE187" s="947"/>
      <c r="AF187" s="947"/>
      <c r="AG187" s="947"/>
      <c r="AH187" s="948"/>
    </row>
    <row r="188" spans="1:40" s="7" customFormat="1" ht="139.5" customHeight="1" x14ac:dyDescent="0.25">
      <c r="A188" s="34">
        <v>9015</v>
      </c>
      <c r="B188" s="39" t="s">
        <v>37</v>
      </c>
      <c r="C188" s="75">
        <v>254.76</v>
      </c>
      <c r="D188" s="77">
        <v>6438.7</v>
      </c>
      <c r="E188" s="77">
        <v>661.5</v>
      </c>
      <c r="F188" s="77">
        <v>591</v>
      </c>
      <c r="G188" s="338">
        <v>1426.67</v>
      </c>
      <c r="H188" s="77">
        <v>4547</v>
      </c>
      <c r="I188" s="77">
        <v>4975</v>
      </c>
      <c r="J188" s="8">
        <f t="shared" si="198"/>
        <v>-0.56844221105527637</v>
      </c>
      <c r="K188" s="77">
        <v>2147</v>
      </c>
      <c r="L188" s="8">
        <f t="shared" si="199"/>
        <v>-0.51795994410805768</v>
      </c>
      <c r="M188" s="77">
        <v>1034.94</v>
      </c>
      <c r="N188" s="8">
        <f t="shared" si="200"/>
        <v>0.17108238158733832</v>
      </c>
      <c r="O188" s="77">
        <v>1212</v>
      </c>
      <c r="P188" s="8">
        <f t="shared" si="201"/>
        <v>0.73437293729372932</v>
      </c>
      <c r="Q188" s="77">
        <v>2102.06</v>
      </c>
      <c r="R188" s="8">
        <f t="shared" si="202"/>
        <v>0.45692320866197922</v>
      </c>
      <c r="S188" s="77">
        <v>3062.54</v>
      </c>
      <c r="T188" s="8">
        <f t="shared" si="203"/>
        <v>1.6122107792877807</v>
      </c>
      <c r="U188" s="521">
        <v>8000</v>
      </c>
      <c r="V188" s="8">
        <f t="shared" si="204"/>
        <v>0</v>
      </c>
      <c r="W188" s="77">
        <v>8000</v>
      </c>
      <c r="X188" s="8">
        <f t="shared" si="205"/>
        <v>0</v>
      </c>
      <c r="Y188" s="77">
        <v>8000</v>
      </c>
      <c r="Z188" s="8">
        <f t="shared" si="206"/>
        <v>0</v>
      </c>
      <c r="AA188" s="77">
        <v>8000</v>
      </c>
      <c r="AB188" s="8">
        <f t="shared" si="207"/>
        <v>0</v>
      </c>
      <c r="AC188" s="77">
        <v>8000</v>
      </c>
      <c r="AD188" s="676" t="s">
        <v>441</v>
      </c>
      <c r="AE188" s="709"/>
      <c r="AF188" s="709"/>
      <c r="AG188" s="709"/>
      <c r="AH188" s="710"/>
      <c r="AI188" s="568"/>
    </row>
    <row r="189" spans="1:40" s="7" customFormat="1" ht="67.5" customHeight="1" x14ac:dyDescent="0.25">
      <c r="A189" s="6">
        <v>9019</v>
      </c>
      <c r="B189" s="40" t="s">
        <v>134</v>
      </c>
      <c r="C189" s="75">
        <v>305</v>
      </c>
      <c r="D189" s="77">
        <v>0</v>
      </c>
      <c r="E189" s="77">
        <v>0</v>
      </c>
      <c r="F189" s="77">
        <v>550</v>
      </c>
      <c r="G189" s="338">
        <v>85</v>
      </c>
      <c r="H189" s="77">
        <v>102</v>
      </c>
      <c r="I189" s="77">
        <v>0</v>
      </c>
      <c r="J189" s="8" t="e">
        <f t="shared" si="198"/>
        <v>#DIV/0!</v>
      </c>
      <c r="K189" s="77">
        <v>499</v>
      </c>
      <c r="L189" s="8">
        <f t="shared" si="199"/>
        <v>-1</v>
      </c>
      <c r="M189" s="77">
        <v>0</v>
      </c>
      <c r="N189" s="8" t="e">
        <f t="shared" si="200"/>
        <v>#DIV/0!</v>
      </c>
      <c r="O189" s="77">
        <v>0</v>
      </c>
      <c r="P189" s="8" t="e">
        <f t="shared" si="201"/>
        <v>#DIV/0!</v>
      </c>
      <c r="Q189" s="77">
        <v>0</v>
      </c>
      <c r="R189" s="8" t="e">
        <f t="shared" si="202"/>
        <v>#DIV/0!</v>
      </c>
      <c r="S189" s="77">
        <v>283.82</v>
      </c>
      <c r="T189" s="8">
        <f t="shared" si="203"/>
        <v>-1</v>
      </c>
      <c r="U189" s="521">
        <v>0</v>
      </c>
      <c r="V189" s="8" t="e">
        <f t="shared" si="204"/>
        <v>#DIV/0!</v>
      </c>
      <c r="W189" s="75">
        <v>0</v>
      </c>
      <c r="X189" s="8" t="e">
        <f t="shared" si="205"/>
        <v>#DIV/0!</v>
      </c>
      <c r="Y189" s="75">
        <v>0</v>
      </c>
      <c r="Z189" s="8" t="e">
        <f t="shared" si="206"/>
        <v>#DIV/0!</v>
      </c>
      <c r="AA189" s="75">
        <v>0</v>
      </c>
      <c r="AB189" s="8" t="e">
        <f t="shared" si="207"/>
        <v>#DIV/0!</v>
      </c>
      <c r="AC189" s="75">
        <v>0</v>
      </c>
      <c r="AD189" s="723" t="s">
        <v>462</v>
      </c>
      <c r="AE189" s="724"/>
      <c r="AF189" s="724"/>
      <c r="AG189" s="724"/>
      <c r="AH189" s="725"/>
      <c r="AI189" s="126"/>
      <c r="AJ189"/>
      <c r="AK189"/>
      <c r="AL189"/>
      <c r="AM189"/>
    </row>
    <row r="190" spans="1:40" s="7" customFormat="1" ht="258" customHeight="1" x14ac:dyDescent="0.25">
      <c r="A190" s="6">
        <v>9020</v>
      </c>
      <c r="B190" s="40" t="s">
        <v>113</v>
      </c>
      <c r="C190" s="76">
        <v>9655.7999999999993</v>
      </c>
      <c r="D190" s="108">
        <v>2639</v>
      </c>
      <c r="E190" s="108">
        <v>960</v>
      </c>
      <c r="F190" s="108">
        <v>0</v>
      </c>
      <c r="G190" s="338">
        <v>0</v>
      </c>
      <c r="H190" s="77">
        <v>23441</v>
      </c>
      <c r="I190" s="77">
        <v>0</v>
      </c>
      <c r="J190" s="8" t="e">
        <f t="shared" si="198"/>
        <v>#DIV/0!</v>
      </c>
      <c r="K190" s="77">
        <v>0</v>
      </c>
      <c r="L190" s="8" t="e">
        <f t="shared" si="199"/>
        <v>#DIV/0!</v>
      </c>
      <c r="M190" s="77">
        <v>44367.47</v>
      </c>
      <c r="N190" s="8">
        <f t="shared" si="200"/>
        <v>0.44326056906107103</v>
      </c>
      <c r="O190" s="77">
        <v>64033.82</v>
      </c>
      <c r="P190" s="8">
        <f t="shared" si="201"/>
        <v>-1</v>
      </c>
      <c r="Q190" s="77">
        <v>0</v>
      </c>
      <c r="R190" s="8" t="e">
        <f t="shared" si="202"/>
        <v>#DIV/0!</v>
      </c>
      <c r="S190" s="77">
        <v>77213.600000000006</v>
      </c>
      <c r="T190" s="8">
        <f t="shared" si="203"/>
        <v>-0.9843613042261985</v>
      </c>
      <c r="U190" s="628">
        <v>1207.52</v>
      </c>
      <c r="V190" s="8">
        <f t="shared" si="204"/>
        <v>-1</v>
      </c>
      <c r="W190" s="75">
        <v>0</v>
      </c>
      <c r="X190" s="8" t="e">
        <f t="shared" si="205"/>
        <v>#DIV/0!</v>
      </c>
      <c r="Y190" s="75">
        <v>0</v>
      </c>
      <c r="Z190" s="8" t="e">
        <f t="shared" si="206"/>
        <v>#DIV/0!</v>
      </c>
      <c r="AA190" s="75">
        <v>0</v>
      </c>
      <c r="AB190" s="8" t="e">
        <f t="shared" si="207"/>
        <v>#DIV/0!</v>
      </c>
      <c r="AC190" s="75">
        <v>0</v>
      </c>
      <c r="AD190" s="927" t="s">
        <v>525</v>
      </c>
      <c r="AE190" s="928"/>
      <c r="AF190" s="928"/>
      <c r="AG190" s="928"/>
      <c r="AH190" s="929"/>
      <c r="AI190" s="779"/>
      <c r="AJ190" s="780"/>
      <c r="AK190" s="780"/>
      <c r="AL190" s="780"/>
    </row>
    <row r="191" spans="1:40" ht="43.5" customHeight="1" x14ac:dyDescent="0.25">
      <c r="A191" s="6">
        <v>9021</v>
      </c>
      <c r="B191" s="40" t="s">
        <v>114</v>
      </c>
      <c r="C191" s="76">
        <v>0</v>
      </c>
      <c r="D191" s="108">
        <v>0</v>
      </c>
      <c r="E191" s="108">
        <v>0</v>
      </c>
      <c r="F191" s="108">
        <v>0</v>
      </c>
      <c r="G191" s="338">
        <v>0</v>
      </c>
      <c r="H191" s="77">
        <v>0</v>
      </c>
      <c r="I191" s="77">
        <v>0</v>
      </c>
      <c r="J191" s="8" t="e">
        <f t="shared" si="198"/>
        <v>#DIV/0!</v>
      </c>
      <c r="K191" s="77">
        <v>0</v>
      </c>
      <c r="L191" s="8" t="e">
        <f t="shared" si="199"/>
        <v>#DIV/0!</v>
      </c>
      <c r="M191" s="77">
        <v>0</v>
      </c>
      <c r="N191" s="8" t="e">
        <f t="shared" si="200"/>
        <v>#DIV/0!</v>
      </c>
      <c r="O191" s="77">
        <v>0</v>
      </c>
      <c r="P191" s="8" t="e">
        <f t="shared" si="201"/>
        <v>#DIV/0!</v>
      </c>
      <c r="Q191" s="77">
        <v>0</v>
      </c>
      <c r="R191" s="8" t="e">
        <f t="shared" si="202"/>
        <v>#DIV/0!</v>
      </c>
      <c r="S191" s="77">
        <v>0</v>
      </c>
      <c r="T191" s="8" t="e">
        <f t="shared" si="203"/>
        <v>#DIV/0!</v>
      </c>
      <c r="U191" s="521">
        <v>0</v>
      </c>
      <c r="V191" s="8" t="e">
        <f t="shared" si="204"/>
        <v>#DIV/0!</v>
      </c>
      <c r="W191" s="75">
        <v>0</v>
      </c>
      <c r="X191" s="8" t="e">
        <f t="shared" si="205"/>
        <v>#DIV/0!</v>
      </c>
      <c r="Y191" s="75">
        <v>0</v>
      </c>
      <c r="Z191" s="8" t="e">
        <f t="shared" si="206"/>
        <v>#DIV/0!</v>
      </c>
      <c r="AA191" s="75">
        <v>0</v>
      </c>
      <c r="AB191" s="8" t="e">
        <f t="shared" si="207"/>
        <v>#DIV/0!</v>
      </c>
      <c r="AC191" s="75">
        <v>0</v>
      </c>
      <c r="AD191" s="930" t="s">
        <v>273</v>
      </c>
      <c r="AE191" s="931"/>
      <c r="AF191" s="931"/>
      <c r="AG191" s="931"/>
      <c r="AH191" s="932"/>
    </row>
    <row r="192" spans="1:40" ht="192.75" customHeight="1" x14ac:dyDescent="0.25">
      <c r="A192" s="6">
        <v>9022</v>
      </c>
      <c r="B192" s="5" t="s">
        <v>400</v>
      </c>
      <c r="C192" s="75">
        <v>746.73</v>
      </c>
      <c r="D192" s="77">
        <v>1683.8</v>
      </c>
      <c r="E192" s="77">
        <v>3988.9</v>
      </c>
      <c r="F192" s="77">
        <v>1769.78</v>
      </c>
      <c r="G192" s="338">
        <v>1162.05</v>
      </c>
      <c r="H192" s="77">
        <v>2482.5700000000002</v>
      </c>
      <c r="I192" s="77">
        <v>3647.45</v>
      </c>
      <c r="J192" s="8">
        <f t="shared" si="198"/>
        <v>-0.7178412315453262</v>
      </c>
      <c r="K192" s="77">
        <v>1029.1600000000001</v>
      </c>
      <c r="L192" s="8">
        <f t="shared" si="199"/>
        <v>1.7810933188231177</v>
      </c>
      <c r="M192" s="77">
        <v>2862.19</v>
      </c>
      <c r="N192" s="8">
        <f t="shared" si="200"/>
        <v>0.56042401098459549</v>
      </c>
      <c r="O192" s="77">
        <v>4466.2299999999996</v>
      </c>
      <c r="P192" s="8">
        <f t="shared" si="201"/>
        <v>0.29863441873795138</v>
      </c>
      <c r="Q192" s="77">
        <v>5800</v>
      </c>
      <c r="R192" s="8">
        <f t="shared" si="202"/>
        <v>0.79797758620689663</v>
      </c>
      <c r="S192" s="77">
        <v>10428.27</v>
      </c>
      <c r="T192" s="8">
        <f t="shared" si="203"/>
        <v>-0.76026704333508821</v>
      </c>
      <c r="U192" s="521">
        <v>2500</v>
      </c>
      <c r="V192" s="8">
        <f t="shared" si="204"/>
        <v>0</v>
      </c>
      <c r="W192" s="75">
        <v>2500</v>
      </c>
      <c r="X192" s="8">
        <f t="shared" si="205"/>
        <v>0</v>
      </c>
      <c r="Y192" s="75">
        <v>2500</v>
      </c>
      <c r="Z192" s="8">
        <f t="shared" si="206"/>
        <v>0</v>
      </c>
      <c r="AA192" s="75">
        <v>2500</v>
      </c>
      <c r="AB192" s="8">
        <f t="shared" si="207"/>
        <v>0</v>
      </c>
      <c r="AC192" s="75">
        <v>2500</v>
      </c>
      <c r="AD192" s="676" t="s">
        <v>428</v>
      </c>
      <c r="AE192" s="706"/>
      <c r="AF192" s="706"/>
      <c r="AG192" s="706"/>
      <c r="AH192" s="707"/>
      <c r="AI192" s="317"/>
    </row>
    <row r="193" spans="1:38" ht="177.75" customHeight="1" x14ac:dyDescent="0.25">
      <c r="A193" s="34">
        <v>9023</v>
      </c>
      <c r="B193" s="3" t="s">
        <v>330</v>
      </c>
      <c r="C193" s="75">
        <v>190.26</v>
      </c>
      <c r="D193" s="77">
        <v>0</v>
      </c>
      <c r="E193" s="77">
        <v>199.98</v>
      </c>
      <c r="F193" s="77">
        <v>187.7</v>
      </c>
      <c r="G193" s="338">
        <v>920.94</v>
      </c>
      <c r="H193" s="77">
        <v>886.99</v>
      </c>
      <c r="I193" s="118">
        <v>0</v>
      </c>
      <c r="J193" s="68" t="e">
        <f t="shared" si="198"/>
        <v>#DIV/0!</v>
      </c>
      <c r="K193" s="118">
        <v>0</v>
      </c>
      <c r="L193" s="68" t="e">
        <f t="shared" si="199"/>
        <v>#DIV/0!</v>
      </c>
      <c r="M193" s="118">
        <v>0</v>
      </c>
      <c r="N193" s="68" t="e">
        <f t="shared" si="200"/>
        <v>#DIV/0!</v>
      </c>
      <c r="O193" s="118">
        <v>0</v>
      </c>
      <c r="P193" s="8" t="e">
        <f>(Q193-O193)/O193</f>
        <v>#DIV/0!</v>
      </c>
      <c r="Q193" s="77">
        <v>13763.5</v>
      </c>
      <c r="R193" s="8">
        <f t="shared" ref="R193" si="211">(S193-Q193)/Q193</f>
        <v>-0.99055472808515277</v>
      </c>
      <c r="S193" s="77">
        <v>130</v>
      </c>
      <c r="T193" s="8">
        <f t="shared" ref="T193" si="212">(U193-S193)/S193</f>
        <v>22.192307692307693</v>
      </c>
      <c r="U193" s="521">
        <v>3015</v>
      </c>
      <c r="V193" s="8">
        <f t="shared" ref="V193" si="213">(W193-U193)/U193</f>
        <v>2.9850746268656716E-2</v>
      </c>
      <c r="W193" s="77">
        <v>3105</v>
      </c>
      <c r="X193" s="8">
        <f t="shared" si="205"/>
        <v>2.9951690821256038E-2</v>
      </c>
      <c r="Y193" s="77">
        <v>3198</v>
      </c>
      <c r="Z193" s="8">
        <f t="shared" si="206"/>
        <v>3.0018761726078799E-2</v>
      </c>
      <c r="AA193" s="77">
        <v>3294</v>
      </c>
      <c r="AB193" s="8">
        <f t="shared" si="207"/>
        <v>0</v>
      </c>
      <c r="AC193" s="77">
        <v>3294</v>
      </c>
      <c r="AD193" s="758" t="s">
        <v>413</v>
      </c>
      <c r="AE193" s="759"/>
      <c r="AF193" s="759"/>
      <c r="AG193" s="759"/>
      <c r="AH193" s="760"/>
      <c r="AI193" s="751"/>
      <c r="AJ193" s="660"/>
      <c r="AK193" s="660"/>
      <c r="AL193" s="660"/>
    </row>
    <row r="194" spans="1:38" ht="58.5" customHeight="1" x14ac:dyDescent="0.25">
      <c r="A194" s="6">
        <v>9024</v>
      </c>
      <c r="B194" s="40" t="s">
        <v>115</v>
      </c>
      <c r="C194" s="75">
        <v>190.26</v>
      </c>
      <c r="D194" s="77">
        <v>0</v>
      </c>
      <c r="E194" s="77">
        <v>199.98</v>
      </c>
      <c r="F194" s="77">
        <v>187.7</v>
      </c>
      <c r="G194" s="338">
        <v>920.94</v>
      </c>
      <c r="H194" s="77">
        <v>886.99</v>
      </c>
      <c r="I194" s="77">
        <v>110.5</v>
      </c>
      <c r="J194" s="8">
        <f>(K194-I194)/I194</f>
        <v>0.43773755656108604</v>
      </c>
      <c r="K194" s="77">
        <v>158.87</v>
      </c>
      <c r="L194" s="8">
        <f>(M194-K194)/K194</f>
        <v>1.5478693271228046</v>
      </c>
      <c r="M194" s="77">
        <v>404.78</v>
      </c>
      <c r="N194" s="8">
        <f>(O194-M194)/M194</f>
        <v>-0.87126340234201294</v>
      </c>
      <c r="O194" s="77">
        <v>52.11</v>
      </c>
      <c r="P194" s="8">
        <f>(Q194-O194)/O194</f>
        <v>18.321051621569758</v>
      </c>
      <c r="Q194" s="77">
        <v>1006.82</v>
      </c>
      <c r="R194" s="8">
        <f t="shared" si="202"/>
        <v>0.99291829721300717</v>
      </c>
      <c r="S194" s="77">
        <v>2006.51</v>
      </c>
      <c r="T194" s="8">
        <f t="shared" si="203"/>
        <v>-0.75081110983747901</v>
      </c>
      <c r="U194" s="521">
        <v>500</v>
      </c>
      <c r="V194" s="8">
        <f t="shared" si="204"/>
        <v>0</v>
      </c>
      <c r="W194" s="77">
        <v>500</v>
      </c>
      <c r="X194" s="8">
        <f t="shared" si="205"/>
        <v>0</v>
      </c>
      <c r="Y194" s="77">
        <v>500</v>
      </c>
      <c r="Z194" s="8">
        <f t="shared" si="206"/>
        <v>0</v>
      </c>
      <c r="AA194" s="77">
        <v>500</v>
      </c>
      <c r="AB194" s="8">
        <f t="shared" si="207"/>
        <v>0</v>
      </c>
      <c r="AC194" s="77">
        <v>500</v>
      </c>
      <c r="AD194" s="723" t="s">
        <v>369</v>
      </c>
      <c r="AE194" s="735"/>
      <c r="AF194" s="735"/>
      <c r="AG194" s="735"/>
      <c r="AH194" s="736"/>
      <c r="AI194" s="751"/>
      <c r="AJ194" s="660"/>
      <c r="AK194" s="660"/>
      <c r="AL194" s="660"/>
    </row>
    <row r="195" spans="1:38" s="7" customFormat="1" ht="122.25" customHeight="1" x14ac:dyDescent="0.25">
      <c r="A195" s="6">
        <v>9025</v>
      </c>
      <c r="B195" s="40" t="s">
        <v>116</v>
      </c>
      <c r="C195" s="75">
        <v>283.27999999999997</v>
      </c>
      <c r="D195" s="77">
        <v>636.95000000000005</v>
      </c>
      <c r="E195" s="77">
        <v>751.32</v>
      </c>
      <c r="F195" s="77">
        <v>347.18</v>
      </c>
      <c r="G195" s="338">
        <v>0</v>
      </c>
      <c r="H195" s="77">
        <v>1861.78</v>
      </c>
      <c r="I195" s="77">
        <v>520.37</v>
      </c>
      <c r="J195" s="8">
        <f>(K195-I195)/I195</f>
        <v>-1</v>
      </c>
      <c r="K195" s="77">
        <v>0</v>
      </c>
      <c r="L195" s="8" t="e">
        <f t="shared" ref="L195" si="214">(M195-K195)/K195</f>
        <v>#DIV/0!</v>
      </c>
      <c r="M195" s="77">
        <v>210.41</v>
      </c>
      <c r="N195" s="8">
        <f t="shared" ref="N195" si="215">(O195-M195)/M195</f>
        <v>36.464996910793218</v>
      </c>
      <c r="O195" s="77">
        <v>7883.01</v>
      </c>
      <c r="P195" s="8">
        <f t="shared" ref="P195" si="216">(Q195-O195)/O195</f>
        <v>-0.943363004740575</v>
      </c>
      <c r="Q195" s="77">
        <v>446.47</v>
      </c>
      <c r="R195" s="8">
        <f t="shared" si="202"/>
        <v>6.5280533966447907</v>
      </c>
      <c r="S195" s="77">
        <v>3361.05</v>
      </c>
      <c r="T195" s="8">
        <f t="shared" si="203"/>
        <v>-0.55371089391707951</v>
      </c>
      <c r="U195" s="521">
        <v>1500</v>
      </c>
      <c r="V195" s="8">
        <f t="shared" si="204"/>
        <v>0</v>
      </c>
      <c r="W195" s="77">
        <v>1500</v>
      </c>
      <c r="X195" s="8">
        <f t="shared" si="205"/>
        <v>0</v>
      </c>
      <c r="Y195" s="77">
        <f>W195*1</f>
        <v>1500</v>
      </c>
      <c r="Z195" s="8">
        <f t="shared" si="206"/>
        <v>0</v>
      </c>
      <c r="AA195" s="77">
        <f>Y195*1</f>
        <v>1500</v>
      </c>
      <c r="AB195" s="8">
        <f t="shared" si="207"/>
        <v>0</v>
      </c>
      <c r="AC195" s="77">
        <f>AA195*1</f>
        <v>1500</v>
      </c>
      <c r="AD195" s="723" t="s">
        <v>416</v>
      </c>
      <c r="AE195" s="724"/>
      <c r="AF195" s="724"/>
      <c r="AG195" s="724"/>
      <c r="AH195" s="725"/>
      <c r="AI195" s="808"/>
      <c r="AJ195" s="805"/>
      <c r="AK195" s="805"/>
      <c r="AL195" s="805"/>
    </row>
    <row r="196" spans="1:38" s="7" customFormat="1" ht="36" customHeight="1" x14ac:dyDescent="0.25">
      <c r="A196" s="6">
        <v>9026</v>
      </c>
      <c r="B196" s="40" t="s">
        <v>117</v>
      </c>
      <c r="C196" s="75">
        <v>545.75</v>
      </c>
      <c r="D196" s="77">
        <v>600.44000000000005</v>
      </c>
      <c r="E196" s="77">
        <v>262.70999999999998</v>
      </c>
      <c r="F196" s="77">
        <v>241.95</v>
      </c>
      <c r="G196" s="338">
        <v>406.1</v>
      </c>
      <c r="H196" s="77">
        <v>663.91</v>
      </c>
      <c r="I196" s="77">
        <v>125.51</v>
      </c>
      <c r="J196" s="8">
        <f>(K196-I196)/I196</f>
        <v>-1</v>
      </c>
      <c r="K196" s="77">
        <v>0</v>
      </c>
      <c r="L196" s="8" t="e">
        <f>(M196-K196)/K196</f>
        <v>#DIV/0!</v>
      </c>
      <c r="M196" s="77">
        <v>0</v>
      </c>
      <c r="N196" s="8" t="e">
        <f>(O196-M196)/M196</f>
        <v>#DIV/0!</v>
      </c>
      <c r="O196" s="77">
        <v>274.5</v>
      </c>
      <c r="P196" s="8">
        <f>(Q196-O196)/O196</f>
        <v>2.0760655737704918</v>
      </c>
      <c r="Q196" s="77">
        <v>844.38</v>
      </c>
      <c r="R196" s="8">
        <f t="shared" si="202"/>
        <v>-1</v>
      </c>
      <c r="S196" s="77">
        <v>0</v>
      </c>
      <c r="T196" s="8" t="e">
        <f t="shared" si="203"/>
        <v>#DIV/0!</v>
      </c>
      <c r="U196" s="521">
        <v>1000</v>
      </c>
      <c r="V196" s="8">
        <f t="shared" si="204"/>
        <v>0</v>
      </c>
      <c r="W196" s="77">
        <v>1000</v>
      </c>
      <c r="X196" s="8">
        <f t="shared" si="205"/>
        <v>0</v>
      </c>
      <c r="Y196" s="77">
        <v>1000</v>
      </c>
      <c r="Z196" s="8">
        <f t="shared" si="206"/>
        <v>0</v>
      </c>
      <c r="AA196" s="77">
        <v>1000</v>
      </c>
      <c r="AB196" s="8">
        <f t="shared" si="207"/>
        <v>0</v>
      </c>
      <c r="AC196" s="77">
        <v>1000</v>
      </c>
      <c r="AD196" s="723" t="s">
        <v>417</v>
      </c>
      <c r="AE196" s="724"/>
      <c r="AF196" s="724"/>
      <c r="AG196" s="724"/>
      <c r="AH196" s="725"/>
      <c r="AI196" s="415"/>
      <c r="AJ196" s="416"/>
      <c r="AK196" s="416"/>
      <c r="AL196" s="416"/>
    </row>
    <row r="197" spans="1:38" s="13" customFormat="1" ht="31.5" customHeight="1" x14ac:dyDescent="0.25">
      <c r="A197" s="6">
        <v>9027</v>
      </c>
      <c r="B197" s="40" t="s">
        <v>118</v>
      </c>
      <c r="C197" s="75">
        <v>143.01</v>
      </c>
      <c r="D197" s="77">
        <v>311.16000000000003</v>
      </c>
      <c r="E197" s="77">
        <v>1095.1400000000001</v>
      </c>
      <c r="F197" s="77">
        <v>0</v>
      </c>
      <c r="G197" s="338">
        <v>821.6</v>
      </c>
      <c r="H197" s="77">
        <v>2407.3200000000002</v>
      </c>
      <c r="I197" s="77">
        <v>328.02</v>
      </c>
      <c r="J197" s="8">
        <f>(K197-I197)/I197</f>
        <v>-1</v>
      </c>
      <c r="K197" s="77">
        <v>0</v>
      </c>
      <c r="L197" s="8" t="e">
        <f t="shared" ref="L197" si="217">(M197-K197)/K197</f>
        <v>#DIV/0!</v>
      </c>
      <c r="M197" s="77">
        <v>1155.19</v>
      </c>
      <c r="N197" s="8">
        <f t="shared" ref="N197" si="218">(O197-M197)/M197</f>
        <v>-1.4559596256892806</v>
      </c>
      <c r="O197" s="77">
        <v>-526.72</v>
      </c>
      <c r="P197" s="8">
        <f t="shared" ref="P197" si="219">(Q197-O197)/O197</f>
        <v>-1.4991646415552857</v>
      </c>
      <c r="Q197" s="77">
        <v>262.92</v>
      </c>
      <c r="R197" s="8">
        <f t="shared" si="202"/>
        <v>-0.7372204472843451</v>
      </c>
      <c r="S197" s="77">
        <v>69.09</v>
      </c>
      <c r="T197" s="8">
        <f t="shared" si="203"/>
        <v>20.710811984368217</v>
      </c>
      <c r="U197" s="521">
        <v>1500</v>
      </c>
      <c r="V197" s="8">
        <f t="shared" si="204"/>
        <v>0</v>
      </c>
      <c r="W197" s="77">
        <v>1500</v>
      </c>
      <c r="X197" s="8">
        <f t="shared" si="205"/>
        <v>0</v>
      </c>
      <c r="Y197" s="77">
        <v>1500</v>
      </c>
      <c r="Z197" s="8">
        <f t="shared" si="206"/>
        <v>0</v>
      </c>
      <c r="AA197" s="77">
        <v>1500</v>
      </c>
      <c r="AB197" s="8">
        <f t="shared" si="207"/>
        <v>0</v>
      </c>
      <c r="AC197" s="77">
        <v>1500</v>
      </c>
      <c r="AD197" s="723" t="s">
        <v>418</v>
      </c>
      <c r="AE197" s="724"/>
      <c r="AF197" s="724"/>
      <c r="AG197" s="724"/>
      <c r="AH197" s="725"/>
      <c r="AI197" s="808"/>
      <c r="AJ197" s="805"/>
      <c r="AK197" s="805"/>
      <c r="AL197" s="805"/>
    </row>
    <row r="198" spans="1:38" ht="48" customHeight="1" x14ac:dyDescent="0.25">
      <c r="A198" s="34">
        <v>9028</v>
      </c>
      <c r="B198" s="39" t="s">
        <v>119</v>
      </c>
      <c r="C198" s="75">
        <v>0</v>
      </c>
      <c r="D198" s="77">
        <v>63.3</v>
      </c>
      <c r="E198" s="77">
        <v>374.54</v>
      </c>
      <c r="F198" s="77">
        <v>0</v>
      </c>
      <c r="G198" s="338">
        <v>0</v>
      </c>
      <c r="H198" s="77">
        <v>0</v>
      </c>
      <c r="I198" s="77">
        <v>0</v>
      </c>
      <c r="J198" s="8" t="e">
        <f>(K198-I198)/I198</f>
        <v>#DIV/0!</v>
      </c>
      <c r="K198" s="77">
        <v>131.66999999999999</v>
      </c>
      <c r="L198" s="8">
        <f>(M198-K198)/K198</f>
        <v>2.6743373585478851</v>
      </c>
      <c r="M198" s="77">
        <v>483.8</v>
      </c>
      <c r="N198" s="8">
        <f>(O198-M198)/M198</f>
        <v>-1</v>
      </c>
      <c r="O198" s="77">
        <v>0</v>
      </c>
      <c r="P198" s="8" t="e">
        <f>(Q198-O198)/O198</f>
        <v>#DIV/0!</v>
      </c>
      <c r="Q198" s="77">
        <v>58.15</v>
      </c>
      <c r="R198" s="8">
        <f t="shared" si="202"/>
        <v>20.668099742046429</v>
      </c>
      <c r="S198" s="77">
        <v>1260</v>
      </c>
      <c r="T198" s="8">
        <f t="shared" si="203"/>
        <v>-0.68253968253968256</v>
      </c>
      <c r="U198" s="521">
        <v>400</v>
      </c>
      <c r="V198" s="8">
        <f t="shared" si="204"/>
        <v>0</v>
      </c>
      <c r="W198" s="77">
        <v>400</v>
      </c>
      <c r="X198" s="8">
        <f t="shared" si="205"/>
        <v>0</v>
      </c>
      <c r="Y198" s="77">
        <v>400</v>
      </c>
      <c r="Z198" s="8">
        <f t="shared" si="206"/>
        <v>0</v>
      </c>
      <c r="AA198" s="77">
        <v>400</v>
      </c>
      <c r="AB198" s="8">
        <f t="shared" si="207"/>
        <v>0</v>
      </c>
      <c r="AC198" s="77">
        <v>400</v>
      </c>
      <c r="AD198" s="723" t="s">
        <v>384</v>
      </c>
      <c r="AE198" s="724"/>
      <c r="AF198" s="724"/>
      <c r="AG198" s="724"/>
      <c r="AH198" s="725"/>
      <c r="AI198" s="135"/>
    </row>
    <row r="199" spans="1:38" ht="61.5" customHeight="1" x14ac:dyDescent="0.25">
      <c r="A199" s="6">
        <v>9029</v>
      </c>
      <c r="B199" s="40" t="s">
        <v>120</v>
      </c>
      <c r="C199" s="75">
        <v>2892.93</v>
      </c>
      <c r="D199" s="77">
        <v>1763.25</v>
      </c>
      <c r="E199" s="77">
        <v>162.93</v>
      </c>
      <c r="F199" s="77">
        <v>391.9</v>
      </c>
      <c r="G199" s="338">
        <v>344.66</v>
      </c>
      <c r="H199" s="77">
        <v>201.78</v>
      </c>
      <c r="I199" s="77">
        <v>607</v>
      </c>
      <c r="J199" s="8">
        <f t="shared" ref="J199:J204" si="220">(K199-I199)/I199</f>
        <v>-0.51235584843492588</v>
      </c>
      <c r="K199" s="77">
        <v>296</v>
      </c>
      <c r="L199" s="8">
        <f t="shared" ref="L199:L204" si="221">(M199-K199)/K199</f>
        <v>-0.91554054054054057</v>
      </c>
      <c r="M199" s="77">
        <v>25</v>
      </c>
      <c r="N199" s="8">
        <f t="shared" ref="N199:N204" si="222">(O199-M199)/M199</f>
        <v>0.19959999999999994</v>
      </c>
      <c r="O199" s="77">
        <v>29.99</v>
      </c>
      <c r="P199" s="8">
        <f t="shared" ref="P199:P204" si="223">(Q199-O199)/O199</f>
        <v>16.038679559853286</v>
      </c>
      <c r="Q199" s="77">
        <v>510.99</v>
      </c>
      <c r="R199" s="8">
        <f t="shared" si="202"/>
        <v>7.2294761149924662</v>
      </c>
      <c r="S199" s="77">
        <v>4205.18</v>
      </c>
      <c r="T199" s="8">
        <f t="shared" si="203"/>
        <v>-0.76219805097522586</v>
      </c>
      <c r="U199" s="521">
        <v>1000</v>
      </c>
      <c r="V199" s="8">
        <f t="shared" si="204"/>
        <v>0</v>
      </c>
      <c r="W199" s="77">
        <v>1000</v>
      </c>
      <c r="X199" s="8">
        <f t="shared" si="205"/>
        <v>0</v>
      </c>
      <c r="Y199" s="77">
        <v>1000</v>
      </c>
      <c r="Z199" s="8">
        <f t="shared" si="206"/>
        <v>0</v>
      </c>
      <c r="AA199" s="77">
        <v>1000</v>
      </c>
      <c r="AB199" s="8">
        <f t="shared" si="207"/>
        <v>0</v>
      </c>
      <c r="AC199" s="77">
        <v>1000</v>
      </c>
      <c r="AD199" s="676" t="s">
        <v>458</v>
      </c>
      <c r="AE199" s="706"/>
      <c r="AF199" s="706"/>
      <c r="AG199" s="706"/>
      <c r="AH199" s="707"/>
      <c r="AI199" s="135"/>
    </row>
    <row r="200" spans="1:38" ht="146.25" customHeight="1" x14ac:dyDescent="0.25">
      <c r="A200" s="121">
        <v>9030</v>
      </c>
      <c r="B200" s="313" t="s">
        <v>121</v>
      </c>
      <c r="C200" s="75">
        <v>1535.47</v>
      </c>
      <c r="D200" s="77">
        <v>4814.1499999999996</v>
      </c>
      <c r="E200" s="77">
        <v>1415.37</v>
      </c>
      <c r="F200" s="77">
        <v>7519.28</v>
      </c>
      <c r="G200" s="338">
        <v>434.52</v>
      </c>
      <c r="H200" s="77">
        <v>1734.14</v>
      </c>
      <c r="I200" s="77">
        <v>1182.1600000000001</v>
      </c>
      <c r="J200" s="8">
        <f t="shared" si="220"/>
        <v>-0.18961900250389124</v>
      </c>
      <c r="K200" s="77">
        <v>958</v>
      </c>
      <c r="L200" s="8">
        <f t="shared" si="221"/>
        <v>0.42808977035490597</v>
      </c>
      <c r="M200" s="77">
        <v>1368.11</v>
      </c>
      <c r="N200" s="8">
        <f t="shared" si="222"/>
        <v>-0.51145741205020057</v>
      </c>
      <c r="O200" s="77">
        <v>668.38</v>
      </c>
      <c r="P200" s="8">
        <f t="shared" si="223"/>
        <v>-0.42398037044794878</v>
      </c>
      <c r="Q200" s="77">
        <v>385</v>
      </c>
      <c r="R200" s="8">
        <f t="shared" si="202"/>
        <v>42.948155844155849</v>
      </c>
      <c r="S200" s="77">
        <v>16920.04</v>
      </c>
      <c r="T200" s="8">
        <f t="shared" si="203"/>
        <v>-0.94089848487355821</v>
      </c>
      <c r="U200" s="521">
        <v>1000</v>
      </c>
      <c r="V200" s="8">
        <f t="shared" si="204"/>
        <v>0</v>
      </c>
      <c r="W200" s="77">
        <f>U200*1</f>
        <v>1000</v>
      </c>
      <c r="X200" s="8">
        <f t="shared" si="205"/>
        <v>0</v>
      </c>
      <c r="Y200" s="77">
        <f>W200*1</f>
        <v>1000</v>
      </c>
      <c r="Z200" s="8">
        <f t="shared" si="206"/>
        <v>0</v>
      </c>
      <c r="AA200" s="77">
        <f>Y200*1</f>
        <v>1000</v>
      </c>
      <c r="AB200" s="8">
        <f t="shared" si="207"/>
        <v>0</v>
      </c>
      <c r="AC200" s="77">
        <f>AA200*1</f>
        <v>1000</v>
      </c>
      <c r="AD200" s="676" t="s">
        <v>459</v>
      </c>
      <c r="AE200" s="706"/>
      <c r="AF200" s="706"/>
      <c r="AG200" s="706"/>
      <c r="AH200" s="707"/>
      <c r="AI200" s="809"/>
      <c r="AJ200" s="795"/>
      <c r="AK200" s="795"/>
      <c r="AL200" s="795"/>
    </row>
    <row r="201" spans="1:38" s="7" customFormat="1" ht="38.25" customHeight="1" x14ac:dyDescent="0.25">
      <c r="A201" s="34">
        <v>9031</v>
      </c>
      <c r="B201" s="39" t="s">
        <v>122</v>
      </c>
      <c r="C201" s="75">
        <v>3.33</v>
      </c>
      <c r="D201" s="77">
        <v>1299.05</v>
      </c>
      <c r="E201" s="77">
        <v>690.49</v>
      </c>
      <c r="F201" s="77">
        <v>37.49</v>
      </c>
      <c r="G201" s="338">
        <v>163.80000000000001</v>
      </c>
      <c r="H201" s="77">
        <v>91.41</v>
      </c>
      <c r="I201" s="77">
        <v>304.98</v>
      </c>
      <c r="J201" s="8">
        <f t="shared" si="220"/>
        <v>-1</v>
      </c>
      <c r="K201" s="77">
        <v>0</v>
      </c>
      <c r="L201" s="8" t="e">
        <f t="shared" si="221"/>
        <v>#DIV/0!</v>
      </c>
      <c r="M201" s="77">
        <v>233.33</v>
      </c>
      <c r="N201" s="8">
        <f t="shared" si="222"/>
        <v>-0.11430163288046978</v>
      </c>
      <c r="O201" s="77">
        <v>206.66</v>
      </c>
      <c r="P201" s="8">
        <f t="shared" si="223"/>
        <v>-1</v>
      </c>
      <c r="Q201" s="77">
        <v>0</v>
      </c>
      <c r="R201" s="8" t="e">
        <f t="shared" si="202"/>
        <v>#DIV/0!</v>
      </c>
      <c r="S201" s="77">
        <v>249.48</v>
      </c>
      <c r="T201" s="8">
        <f t="shared" si="203"/>
        <v>1.0041686708353377</v>
      </c>
      <c r="U201" s="521">
        <v>500</v>
      </c>
      <c r="V201" s="8">
        <f t="shared" si="204"/>
        <v>0</v>
      </c>
      <c r="W201" s="77">
        <v>500</v>
      </c>
      <c r="X201" s="8">
        <f t="shared" si="205"/>
        <v>0</v>
      </c>
      <c r="Y201" s="77">
        <v>500</v>
      </c>
      <c r="Z201" s="8">
        <f t="shared" si="206"/>
        <v>0</v>
      </c>
      <c r="AA201" s="77">
        <v>500</v>
      </c>
      <c r="AB201" s="8">
        <f t="shared" si="207"/>
        <v>0</v>
      </c>
      <c r="AC201" s="77">
        <v>500</v>
      </c>
      <c r="AD201" s="761" t="s">
        <v>460</v>
      </c>
      <c r="AE201" s="762"/>
      <c r="AF201" s="762"/>
      <c r="AG201" s="762"/>
      <c r="AH201" s="763"/>
      <c r="AI201" s="417"/>
      <c r="AJ201" s="418"/>
      <c r="AK201" s="418"/>
      <c r="AL201" s="418"/>
    </row>
    <row r="202" spans="1:38" ht="83.25" customHeight="1" x14ac:dyDescent="0.25">
      <c r="A202" s="6">
        <v>9032</v>
      </c>
      <c r="B202" s="40" t="s">
        <v>123</v>
      </c>
      <c r="C202" s="75">
        <v>5334.19</v>
      </c>
      <c r="D202" s="77">
        <v>12992.66</v>
      </c>
      <c r="E202" s="77">
        <v>1679.83</v>
      </c>
      <c r="F202" s="77">
        <v>1825.53</v>
      </c>
      <c r="G202" s="338">
        <v>6566.87</v>
      </c>
      <c r="H202" s="77">
        <v>4589.01</v>
      </c>
      <c r="I202" s="77">
        <v>463.81</v>
      </c>
      <c r="J202" s="8">
        <f t="shared" si="220"/>
        <v>1.8612362820982731</v>
      </c>
      <c r="K202" s="77">
        <v>1327.07</v>
      </c>
      <c r="L202" s="8">
        <f t="shared" si="221"/>
        <v>-0.70122902333712611</v>
      </c>
      <c r="M202" s="77">
        <v>396.49</v>
      </c>
      <c r="N202" s="8">
        <f t="shared" si="222"/>
        <v>1.1207848873868194</v>
      </c>
      <c r="O202" s="77">
        <v>840.87</v>
      </c>
      <c r="P202" s="8">
        <f t="shared" si="223"/>
        <v>0.80769916871811331</v>
      </c>
      <c r="Q202" s="77">
        <v>1520.04</v>
      </c>
      <c r="R202" s="8">
        <f t="shared" si="202"/>
        <v>-0.22557959001078912</v>
      </c>
      <c r="S202" s="77">
        <v>1177.1500000000001</v>
      </c>
      <c r="T202" s="8">
        <f t="shared" si="203"/>
        <v>-0.15049059168330295</v>
      </c>
      <c r="U202" s="521">
        <v>1000</v>
      </c>
      <c r="V202" s="8">
        <f t="shared" si="204"/>
        <v>0</v>
      </c>
      <c r="W202" s="77">
        <f>U202*1</f>
        <v>1000</v>
      </c>
      <c r="X202" s="8">
        <f t="shared" si="205"/>
        <v>0</v>
      </c>
      <c r="Y202" s="77">
        <f>W202*1</f>
        <v>1000</v>
      </c>
      <c r="Z202" s="8">
        <f t="shared" si="206"/>
        <v>0</v>
      </c>
      <c r="AA202" s="77">
        <f>Y202*1</f>
        <v>1000</v>
      </c>
      <c r="AB202" s="8">
        <f t="shared" si="207"/>
        <v>0</v>
      </c>
      <c r="AC202" s="77">
        <f>AA202*1</f>
        <v>1000</v>
      </c>
      <c r="AD202" s="761" t="s">
        <v>461</v>
      </c>
      <c r="AE202" s="762"/>
      <c r="AF202" s="762"/>
      <c r="AG202" s="762"/>
      <c r="AH202" s="763"/>
      <c r="AI202" s="809"/>
      <c r="AJ202" s="795"/>
      <c r="AK202" s="795"/>
      <c r="AL202" s="795"/>
    </row>
    <row r="203" spans="1:38" ht="102.75" customHeight="1" thickBot="1" x14ac:dyDescent="0.3">
      <c r="A203" s="34">
        <v>9033</v>
      </c>
      <c r="B203" s="39" t="s">
        <v>124</v>
      </c>
      <c r="C203" s="75">
        <v>764.83</v>
      </c>
      <c r="D203" s="77">
        <v>285.77</v>
      </c>
      <c r="E203" s="77">
        <v>558.88</v>
      </c>
      <c r="F203" s="77">
        <v>1172.3599999999999</v>
      </c>
      <c r="G203" s="347">
        <v>5408.39</v>
      </c>
      <c r="H203" s="77">
        <v>1150.42</v>
      </c>
      <c r="I203" s="77">
        <v>1510.58</v>
      </c>
      <c r="J203" s="8">
        <f t="shared" si="220"/>
        <v>-0.30866951766871004</v>
      </c>
      <c r="K203" s="77">
        <v>1044.31</v>
      </c>
      <c r="L203" s="8">
        <f t="shared" si="221"/>
        <v>-0.11660330744702242</v>
      </c>
      <c r="M203" s="77">
        <v>922.54</v>
      </c>
      <c r="N203" s="8">
        <f t="shared" si="222"/>
        <v>0.25446051119734647</v>
      </c>
      <c r="O203" s="77">
        <v>1157.29</v>
      </c>
      <c r="P203" s="8">
        <f t="shared" si="223"/>
        <v>0.23127306033924089</v>
      </c>
      <c r="Q203" s="77">
        <v>1424.94</v>
      </c>
      <c r="R203" s="8">
        <f t="shared" si="202"/>
        <v>0.43566746670035222</v>
      </c>
      <c r="S203" s="77">
        <v>2045.74</v>
      </c>
      <c r="T203" s="8">
        <f t="shared" si="203"/>
        <v>-2.2358657502908486E-2</v>
      </c>
      <c r="U203" s="521">
        <v>2000</v>
      </c>
      <c r="V203" s="8">
        <f t="shared" si="204"/>
        <v>0</v>
      </c>
      <c r="W203" s="77">
        <v>2000</v>
      </c>
      <c r="X203" s="8">
        <f t="shared" si="205"/>
        <v>0</v>
      </c>
      <c r="Y203" s="75">
        <v>2000</v>
      </c>
      <c r="Z203" s="8">
        <f t="shared" si="206"/>
        <v>0</v>
      </c>
      <c r="AA203" s="75">
        <v>2000</v>
      </c>
      <c r="AB203" s="8">
        <f t="shared" si="207"/>
        <v>0</v>
      </c>
      <c r="AC203" s="75">
        <v>2000</v>
      </c>
      <c r="AD203" s="933" t="s">
        <v>477</v>
      </c>
      <c r="AE203" s="934"/>
      <c r="AF203" s="934"/>
      <c r="AG203" s="934"/>
      <c r="AH203" s="935"/>
      <c r="AJ203" s="420"/>
    </row>
    <row r="204" spans="1:38" ht="42.6" customHeight="1" thickBot="1" x14ac:dyDescent="0.3">
      <c r="A204" s="922" t="s">
        <v>125</v>
      </c>
      <c r="B204" s="923"/>
      <c r="C204" s="87">
        <f t="shared" ref="C204:I204" si="224">SUM(C186:C203)</f>
        <v>22845.600000000002</v>
      </c>
      <c r="D204" s="87">
        <f t="shared" si="224"/>
        <v>33528.229999999996</v>
      </c>
      <c r="E204" s="87">
        <f t="shared" si="224"/>
        <v>13001.569999999998</v>
      </c>
      <c r="F204" s="87">
        <f t="shared" si="224"/>
        <v>14821.869999999999</v>
      </c>
      <c r="G204" s="322">
        <f t="shared" si="224"/>
        <v>18661.54</v>
      </c>
      <c r="H204" s="78">
        <f t="shared" si="224"/>
        <v>45046.320000000007</v>
      </c>
      <c r="I204" s="78">
        <f t="shared" si="224"/>
        <v>13775.380000000001</v>
      </c>
      <c r="J204" s="45">
        <f t="shared" si="220"/>
        <v>-0.4489386136716374</v>
      </c>
      <c r="K204" s="78">
        <f>SUM(K186:K203)</f>
        <v>7591.08</v>
      </c>
      <c r="L204" s="45">
        <f t="shared" si="221"/>
        <v>6.0430360370329401</v>
      </c>
      <c r="M204" s="78">
        <f>SUM(M186:M203)</f>
        <v>53464.250000000015</v>
      </c>
      <c r="N204" s="45">
        <f t="shared" si="222"/>
        <v>0.50190342144517086</v>
      </c>
      <c r="O204" s="78">
        <f>SUM(O186:O203)</f>
        <v>80298.14</v>
      </c>
      <c r="P204" s="45">
        <f t="shared" si="223"/>
        <v>-0.64973945847313519</v>
      </c>
      <c r="Q204" s="78">
        <f>SUM(Q186:Q203)</f>
        <v>28125.27</v>
      </c>
      <c r="R204" s="45">
        <f t="shared" si="202"/>
        <v>3.3524015947224681</v>
      </c>
      <c r="S204" s="78">
        <f>SUM(S186:S203)</f>
        <v>122412.47</v>
      </c>
      <c r="T204" s="45">
        <f t="shared" si="203"/>
        <v>-0.78667598162180696</v>
      </c>
      <c r="U204" s="78">
        <f>SUM(U186:U203)</f>
        <v>26113.52</v>
      </c>
      <c r="V204" s="45">
        <f t="shared" si="204"/>
        <v>-8.0744380688624148E-2</v>
      </c>
      <c r="W204" s="78">
        <f>SUM(W186:W203)</f>
        <v>24005</v>
      </c>
      <c r="X204" s="45">
        <f t="shared" si="205"/>
        <v>3.8741928764840657E-3</v>
      </c>
      <c r="Y204" s="78">
        <f>SUM(Y186:Y203)</f>
        <v>24098</v>
      </c>
      <c r="Z204" s="45">
        <f t="shared" si="206"/>
        <v>3.9837330898829775E-3</v>
      </c>
      <c r="AA204" s="78">
        <f>SUM(AA186:AA203)</f>
        <v>24194</v>
      </c>
      <c r="AB204" s="45">
        <f t="shared" si="207"/>
        <v>0</v>
      </c>
      <c r="AC204" s="78">
        <f>SUM(AC186:AC203)</f>
        <v>24194</v>
      </c>
      <c r="AD204" s="842"/>
      <c r="AE204" s="843"/>
      <c r="AF204" s="843"/>
      <c r="AG204" s="843"/>
      <c r="AH204" s="844"/>
    </row>
    <row r="205" spans="1:38" s="13" customFormat="1" ht="81.75" customHeight="1" x14ac:dyDescent="0.25">
      <c r="A205" s="938" t="s">
        <v>126</v>
      </c>
      <c r="B205" s="939"/>
      <c r="C205" s="91" t="str">
        <f>C3</f>
        <v xml:space="preserve">2013/14 Actual Audit Figures </v>
      </c>
      <c r="D205" s="91" t="str">
        <f>D3</f>
        <v xml:space="preserve">2014/15 Actuals </v>
      </c>
      <c r="E205" s="91" t="str">
        <f>E39</f>
        <v>2015/16 Expenditure Audited Year End</v>
      </c>
      <c r="F205" s="88" t="str">
        <f t="shared" ref="F205:Y205" si="225">F3</f>
        <v>2016/17 Income Audited Year End</v>
      </c>
      <c r="G205" s="319" t="str">
        <f t="shared" si="225"/>
        <v>2017/18 Audited Figures</v>
      </c>
      <c r="H205" s="319" t="str">
        <f t="shared" si="225"/>
        <v>2018/19 Actual as at 16/5/19</v>
      </c>
      <c r="I205" s="80" t="str">
        <f t="shared" si="225"/>
        <v>2019/20 Audited Figures</v>
      </c>
      <c r="J205" s="50" t="str">
        <f t="shared" si="225"/>
        <v>2020/21  % change</v>
      </c>
      <c r="K205" s="80" t="str">
        <f t="shared" si="225"/>
        <v>2020/21              Audited Figures</v>
      </c>
      <c r="L205" s="50" t="str">
        <f t="shared" si="225"/>
        <v>2021/22  % change</v>
      </c>
      <c r="M205" s="80" t="str">
        <f t="shared" si="225"/>
        <v>2021/22 Audited Figures</v>
      </c>
      <c r="N205" s="50" t="str">
        <f t="shared" si="225"/>
        <v>2022/23  % change</v>
      </c>
      <c r="O205" s="80" t="str">
        <f t="shared" si="225"/>
        <v>2022/23 - Audited Figures</v>
      </c>
      <c r="P205" s="50" t="str">
        <f t="shared" si="225"/>
        <v>2023/24  % change</v>
      </c>
      <c r="Q205" s="80" t="str">
        <f t="shared" si="225"/>
        <v>2023/24 - Audited Figures</v>
      </c>
      <c r="R205" s="50" t="str">
        <f t="shared" si="225"/>
        <v>2024.25  % change</v>
      </c>
      <c r="S205" s="80" t="str">
        <f t="shared" si="225"/>
        <v>2024/25 Actuals @ 20/5/25</v>
      </c>
      <c r="T205" s="50" t="str">
        <f t="shared" si="225"/>
        <v>2025/26  % change</v>
      </c>
      <c r="U205" s="80" t="str">
        <f t="shared" si="225"/>
        <v>2025/26 - To Jan 26 Finance</v>
      </c>
      <c r="V205" s="50" t="str">
        <f t="shared" si="225"/>
        <v>2026/27  % change</v>
      </c>
      <c r="W205" s="80" t="str">
        <f t="shared" si="225"/>
        <v>2026/27 Approved Budget @ 21/1/26</v>
      </c>
      <c r="X205" s="50" t="str">
        <f t="shared" si="225"/>
        <v>2027/28  % change</v>
      </c>
      <c r="Y205" s="80" t="str">
        <f t="shared" si="225"/>
        <v>2027/28 Estimated Projection</v>
      </c>
      <c r="Z205" s="50" t="str">
        <f t="shared" ref="Z205:AA205" si="226">Z3</f>
        <v>2028/29  % change</v>
      </c>
      <c r="AA205" s="80" t="str">
        <f t="shared" si="226"/>
        <v>2028/29 Estimated Projection</v>
      </c>
      <c r="AB205" s="50" t="str">
        <f t="shared" ref="AB205:AC205" si="227">AB3</f>
        <v>2028/29  % change</v>
      </c>
      <c r="AC205" s="80" t="str">
        <f t="shared" si="227"/>
        <v>2029/30 Estimated Projection</v>
      </c>
      <c r="AD205" s="893" t="str">
        <f>AD185</f>
        <v xml:space="preserve"> DETAILS </v>
      </c>
      <c r="AE205" s="925"/>
      <c r="AF205" s="925"/>
      <c r="AG205" s="925"/>
      <c r="AH205" s="926"/>
      <c r="AI205" s="135"/>
    </row>
    <row r="206" spans="1:38" s="13" customFormat="1" ht="41.45" customHeight="1" x14ac:dyDescent="0.25">
      <c r="A206" s="34">
        <v>9034</v>
      </c>
      <c r="B206" s="19" t="s">
        <v>135</v>
      </c>
      <c r="C206" s="76">
        <v>0</v>
      </c>
      <c r="D206" s="108">
        <v>0</v>
      </c>
      <c r="E206" s="108">
        <v>0</v>
      </c>
      <c r="F206" s="77">
        <v>0</v>
      </c>
      <c r="G206" s="338">
        <v>0</v>
      </c>
      <c r="H206" s="77">
        <v>0</v>
      </c>
      <c r="I206" s="77">
        <v>0</v>
      </c>
      <c r="J206" s="8" t="e">
        <f t="shared" ref="J206:J211" si="228">(K206-I206)/I206</f>
        <v>#DIV/0!</v>
      </c>
      <c r="K206" s="77">
        <v>0</v>
      </c>
      <c r="L206" s="8" t="e">
        <f t="shared" ref="L206:L211" si="229">(M206-K206)/K206</f>
        <v>#DIV/0!</v>
      </c>
      <c r="M206" s="77">
        <v>0</v>
      </c>
      <c r="N206" s="8" t="e">
        <f t="shared" ref="N206:N211" si="230">(O206-M206)/M206</f>
        <v>#DIV/0!</v>
      </c>
      <c r="O206" s="77">
        <v>0</v>
      </c>
      <c r="P206" s="8" t="e">
        <f t="shared" ref="P206:P211" si="231">(Q206-O206)/O206</f>
        <v>#DIV/0!</v>
      </c>
      <c r="Q206" s="77">
        <v>0</v>
      </c>
      <c r="R206" s="8" t="e">
        <f t="shared" ref="R206:R211" si="232">(S206-Q206)/Q206</f>
        <v>#DIV/0!</v>
      </c>
      <c r="S206" s="77">
        <v>0</v>
      </c>
      <c r="T206" s="8" t="e">
        <f t="shared" ref="T206:T211" si="233">(U206-S206)/S206</f>
        <v>#DIV/0!</v>
      </c>
      <c r="U206" s="521">
        <v>0</v>
      </c>
      <c r="V206" s="8" t="e">
        <f t="shared" ref="V206:V211" si="234">(W206-U206)/U206</f>
        <v>#DIV/0!</v>
      </c>
      <c r="W206" s="75">
        <v>0</v>
      </c>
      <c r="X206" s="8" t="e">
        <f t="shared" ref="X206:X211" si="235">(Y206-W206)/W206</f>
        <v>#DIV/0!</v>
      </c>
      <c r="Y206" s="75">
        <v>0</v>
      </c>
      <c r="Z206" s="8" t="e">
        <f t="shared" ref="Z206:Z211" si="236">(AA206-Y206)/Y206</f>
        <v>#DIV/0!</v>
      </c>
      <c r="AA206" s="75">
        <v>0</v>
      </c>
      <c r="AB206" s="8" t="e">
        <f t="shared" ref="AB206:AB211" si="237">(AC206-AA206)/AA206</f>
        <v>#DIV/0!</v>
      </c>
      <c r="AC206" s="75">
        <v>0</v>
      </c>
      <c r="AD206" s="676"/>
      <c r="AE206" s="706"/>
      <c r="AF206" s="706"/>
      <c r="AG206" s="706"/>
      <c r="AH206" s="707"/>
      <c r="AI206" s="290"/>
      <c r="AJ206" s="291"/>
      <c r="AK206" s="291"/>
    </row>
    <row r="207" spans="1:38" s="13" customFormat="1" ht="108" customHeight="1" x14ac:dyDescent="0.25">
      <c r="A207" s="34">
        <v>9035</v>
      </c>
      <c r="B207" s="19" t="s">
        <v>136</v>
      </c>
      <c r="C207" s="76">
        <v>0</v>
      </c>
      <c r="D207" s="108">
        <v>0</v>
      </c>
      <c r="E207" s="108">
        <v>0</v>
      </c>
      <c r="F207" s="77">
        <v>0</v>
      </c>
      <c r="G207" s="338">
        <v>0</v>
      </c>
      <c r="H207" s="77">
        <v>0</v>
      </c>
      <c r="I207" s="77">
        <v>0</v>
      </c>
      <c r="J207" s="8" t="e">
        <f t="shared" si="228"/>
        <v>#DIV/0!</v>
      </c>
      <c r="K207" s="77">
        <v>0</v>
      </c>
      <c r="L207" s="8" t="e">
        <f t="shared" si="229"/>
        <v>#DIV/0!</v>
      </c>
      <c r="M207" s="77">
        <v>0</v>
      </c>
      <c r="N207" s="8" t="e">
        <f t="shared" si="230"/>
        <v>#DIV/0!</v>
      </c>
      <c r="O207" s="77">
        <v>0</v>
      </c>
      <c r="P207" s="8" t="e">
        <f t="shared" si="231"/>
        <v>#DIV/0!</v>
      </c>
      <c r="Q207" s="77">
        <v>1843</v>
      </c>
      <c r="R207" s="8">
        <f t="shared" si="232"/>
        <v>1.1109278350515464</v>
      </c>
      <c r="S207" s="77">
        <v>3890.44</v>
      </c>
      <c r="T207" s="8">
        <f t="shared" si="233"/>
        <v>-1</v>
      </c>
      <c r="U207" s="521">
        <v>0</v>
      </c>
      <c r="V207" s="8" t="e">
        <f t="shared" si="234"/>
        <v>#DIV/0!</v>
      </c>
      <c r="W207" s="75">
        <v>0</v>
      </c>
      <c r="X207" s="8" t="e">
        <f t="shared" si="235"/>
        <v>#DIV/0!</v>
      </c>
      <c r="Y207" s="75">
        <v>0</v>
      </c>
      <c r="Z207" s="8" t="e">
        <f t="shared" si="236"/>
        <v>#DIV/0!</v>
      </c>
      <c r="AA207" s="75">
        <v>0</v>
      </c>
      <c r="AB207" s="8" t="e">
        <f t="shared" si="237"/>
        <v>#DIV/0!</v>
      </c>
      <c r="AC207" s="75">
        <v>0</v>
      </c>
      <c r="AD207" s="764" t="s">
        <v>482</v>
      </c>
      <c r="AE207" s="765"/>
      <c r="AF207" s="765"/>
      <c r="AG207" s="765"/>
      <c r="AH207" s="766"/>
      <c r="AI207" s="290"/>
      <c r="AJ207" s="291"/>
      <c r="AK207" s="291"/>
    </row>
    <row r="208" spans="1:38" s="13" customFormat="1" ht="312.75" customHeight="1" x14ac:dyDescent="0.25">
      <c r="A208" s="34">
        <v>9036</v>
      </c>
      <c r="B208" s="19" t="s">
        <v>137</v>
      </c>
      <c r="C208" s="76">
        <v>0</v>
      </c>
      <c r="D208" s="108">
        <v>0</v>
      </c>
      <c r="E208" s="108">
        <v>1400</v>
      </c>
      <c r="F208" s="77">
        <v>3463.48</v>
      </c>
      <c r="G208" s="338">
        <v>744</v>
      </c>
      <c r="H208" s="77">
        <v>295</v>
      </c>
      <c r="I208" s="77">
        <v>37770</v>
      </c>
      <c r="J208" s="8">
        <f t="shared" si="228"/>
        <v>-1</v>
      </c>
      <c r="K208" s="77">
        <v>0</v>
      </c>
      <c r="L208" s="8" t="e">
        <f t="shared" si="229"/>
        <v>#DIV/0!</v>
      </c>
      <c r="M208" s="77">
        <v>496.99</v>
      </c>
      <c r="N208" s="8">
        <f t="shared" si="230"/>
        <v>12.800740457554477</v>
      </c>
      <c r="O208" s="77">
        <v>6858.83</v>
      </c>
      <c r="P208" s="8">
        <f t="shared" si="231"/>
        <v>-0.8751740457191679</v>
      </c>
      <c r="Q208" s="77">
        <v>856.16</v>
      </c>
      <c r="R208" s="8">
        <f t="shared" si="232"/>
        <v>1.436647355634461</v>
      </c>
      <c r="S208" s="77">
        <v>2086.16</v>
      </c>
      <c r="T208" s="8">
        <f t="shared" si="233"/>
        <v>-1</v>
      </c>
      <c r="U208" s="521">
        <v>0</v>
      </c>
      <c r="V208" s="8" t="e">
        <f t="shared" si="234"/>
        <v>#DIV/0!</v>
      </c>
      <c r="W208" s="75">
        <v>0</v>
      </c>
      <c r="X208" s="8" t="e">
        <f t="shared" si="235"/>
        <v>#DIV/0!</v>
      </c>
      <c r="Y208" s="75">
        <v>0</v>
      </c>
      <c r="Z208" s="8" t="e">
        <f t="shared" si="236"/>
        <v>#DIV/0!</v>
      </c>
      <c r="AA208" s="75">
        <v>0</v>
      </c>
      <c r="AB208" s="8" t="e">
        <f t="shared" si="237"/>
        <v>#DIV/0!</v>
      </c>
      <c r="AC208" s="75">
        <v>0</v>
      </c>
      <c r="AD208" s="711" t="s">
        <v>420</v>
      </c>
      <c r="AE208" s="767"/>
      <c r="AF208" s="767"/>
      <c r="AG208" s="767"/>
      <c r="AH208" s="768"/>
      <c r="AI208" s="290"/>
      <c r="AJ208" s="291"/>
      <c r="AK208" s="291"/>
    </row>
    <row r="209" spans="1:39" s="13" customFormat="1" ht="171" customHeight="1" x14ac:dyDescent="0.25">
      <c r="A209" s="34">
        <v>9037</v>
      </c>
      <c r="B209" s="19" t="s">
        <v>391</v>
      </c>
      <c r="C209" s="76">
        <v>0</v>
      </c>
      <c r="D209" s="108">
        <v>1286.29</v>
      </c>
      <c r="E209" s="108">
        <v>0</v>
      </c>
      <c r="F209" s="77">
        <v>12600.78</v>
      </c>
      <c r="G209" s="338">
        <v>0</v>
      </c>
      <c r="H209" s="77">
        <v>0</v>
      </c>
      <c r="I209" s="77">
        <v>0</v>
      </c>
      <c r="J209" s="8" t="e">
        <f t="shared" si="228"/>
        <v>#DIV/0!</v>
      </c>
      <c r="K209" s="77">
        <v>0</v>
      </c>
      <c r="L209" s="8" t="e">
        <f t="shared" si="229"/>
        <v>#DIV/0!</v>
      </c>
      <c r="M209" s="77">
        <v>0</v>
      </c>
      <c r="N209" s="8" t="e">
        <f t="shared" si="230"/>
        <v>#DIV/0!</v>
      </c>
      <c r="O209" s="77">
        <v>0</v>
      </c>
      <c r="P209" s="8" t="e">
        <f t="shared" si="231"/>
        <v>#DIV/0!</v>
      </c>
      <c r="Q209" s="77">
        <v>16915.87</v>
      </c>
      <c r="R209" s="8">
        <f t="shared" si="232"/>
        <v>-1</v>
      </c>
      <c r="S209" s="77">
        <v>0</v>
      </c>
      <c r="T209" s="8" t="e">
        <f t="shared" si="233"/>
        <v>#DIV/0!</v>
      </c>
      <c r="U209" s="521">
        <v>20000</v>
      </c>
      <c r="V209" s="8">
        <f t="shared" si="234"/>
        <v>-1</v>
      </c>
      <c r="W209" s="75">
        <v>0</v>
      </c>
      <c r="X209" s="8" t="e">
        <f t="shared" si="235"/>
        <v>#DIV/0!</v>
      </c>
      <c r="Y209" s="75">
        <v>0</v>
      </c>
      <c r="Z209" s="8" t="e">
        <f t="shared" si="236"/>
        <v>#DIV/0!</v>
      </c>
      <c r="AA209" s="75">
        <v>0</v>
      </c>
      <c r="AB209" s="8" t="e">
        <f t="shared" si="237"/>
        <v>#DIV/0!</v>
      </c>
      <c r="AC209" s="75">
        <v>0</v>
      </c>
      <c r="AD209" s="676" t="s">
        <v>511</v>
      </c>
      <c r="AE209" s="709"/>
      <c r="AF209" s="709"/>
      <c r="AG209" s="709"/>
      <c r="AH209" s="710"/>
      <c r="AI209" s="290"/>
      <c r="AJ209" s="291"/>
      <c r="AK209" s="291"/>
    </row>
    <row r="210" spans="1:39" s="13" customFormat="1" ht="349.5" customHeight="1" x14ac:dyDescent="0.25">
      <c r="A210" s="34">
        <v>9038</v>
      </c>
      <c r="B210" s="19" t="s">
        <v>489</v>
      </c>
      <c r="C210" s="76">
        <v>0</v>
      </c>
      <c r="D210" s="108">
        <v>0</v>
      </c>
      <c r="E210" s="108">
        <v>0</v>
      </c>
      <c r="F210" s="77">
        <v>0</v>
      </c>
      <c r="G210" s="338">
        <v>0</v>
      </c>
      <c r="H210" s="77">
        <v>0</v>
      </c>
      <c r="I210" s="77">
        <v>8700</v>
      </c>
      <c r="J210" s="8">
        <f t="shared" si="228"/>
        <v>-1</v>
      </c>
      <c r="K210" s="77">
        <v>0</v>
      </c>
      <c r="L210" s="8" t="e">
        <f t="shared" si="229"/>
        <v>#DIV/0!</v>
      </c>
      <c r="M210" s="77">
        <v>0</v>
      </c>
      <c r="N210" s="8" t="e">
        <f t="shared" si="230"/>
        <v>#DIV/0!</v>
      </c>
      <c r="O210" s="77">
        <v>2010</v>
      </c>
      <c r="P210" s="8">
        <f t="shared" si="231"/>
        <v>8.465671641791038E-2</v>
      </c>
      <c r="Q210" s="77">
        <v>2180.16</v>
      </c>
      <c r="R210" s="8">
        <f t="shared" si="232"/>
        <v>35.136100102744749</v>
      </c>
      <c r="S210" s="77">
        <v>78782.48</v>
      </c>
      <c r="T210" s="8">
        <f t="shared" si="233"/>
        <v>-0.96562624075809744</v>
      </c>
      <c r="U210" s="521">
        <v>2708.05</v>
      </c>
      <c r="V210" s="8">
        <f t="shared" si="234"/>
        <v>-1</v>
      </c>
      <c r="W210" s="75">
        <v>0</v>
      </c>
      <c r="X210" s="8" t="e">
        <f t="shared" si="235"/>
        <v>#DIV/0!</v>
      </c>
      <c r="Y210" s="75">
        <v>0</v>
      </c>
      <c r="Z210" s="8" t="e">
        <f t="shared" si="236"/>
        <v>#DIV/0!</v>
      </c>
      <c r="AA210" s="75">
        <v>0</v>
      </c>
      <c r="AB210" s="8" t="e">
        <f t="shared" si="237"/>
        <v>#DIV/0!</v>
      </c>
      <c r="AC210" s="75">
        <v>0</v>
      </c>
      <c r="AD210" s="902" t="s">
        <v>483</v>
      </c>
      <c r="AE210" s="724"/>
      <c r="AF210" s="724"/>
      <c r="AG210" s="724"/>
      <c r="AH210" s="725"/>
      <c r="AI210" s="539"/>
      <c r="AJ210" s="291"/>
      <c r="AK210" s="291"/>
      <c r="AL210" s="161"/>
      <c r="AM210" s="161"/>
    </row>
    <row r="211" spans="1:39" s="13" customFormat="1" ht="324.75" customHeight="1" x14ac:dyDescent="0.25">
      <c r="A211" s="34">
        <v>9039</v>
      </c>
      <c r="B211" s="19" t="s">
        <v>12</v>
      </c>
      <c r="C211" s="76">
        <v>2510</v>
      </c>
      <c r="D211" s="108">
        <v>4826</v>
      </c>
      <c r="E211" s="108">
        <v>276296.34000000003</v>
      </c>
      <c r="F211" s="77">
        <v>10083.120000000001</v>
      </c>
      <c r="G211" s="338">
        <v>8845.48</v>
      </c>
      <c r="H211" s="77">
        <v>44391.38</v>
      </c>
      <c r="I211" s="77">
        <v>7871</v>
      </c>
      <c r="J211" s="8">
        <f t="shared" si="228"/>
        <v>-1.0741024012196672</v>
      </c>
      <c r="K211" s="455">
        <v>-583.26</v>
      </c>
      <c r="L211" s="8">
        <f t="shared" si="229"/>
        <v>-1</v>
      </c>
      <c r="M211" s="77">
        <v>0</v>
      </c>
      <c r="N211" s="8" t="e">
        <f t="shared" si="230"/>
        <v>#DIV/0!</v>
      </c>
      <c r="O211" s="77">
        <v>13343.76</v>
      </c>
      <c r="P211" s="8">
        <f t="shared" si="231"/>
        <v>8.5365743988201122E-3</v>
      </c>
      <c r="Q211" s="77">
        <v>13457.67</v>
      </c>
      <c r="R211" s="8">
        <f t="shared" si="232"/>
        <v>-1</v>
      </c>
      <c r="S211" s="77">
        <v>0</v>
      </c>
      <c r="T211" s="8" t="e">
        <f t="shared" si="233"/>
        <v>#DIV/0!</v>
      </c>
      <c r="U211" s="521">
        <v>0</v>
      </c>
      <c r="V211" s="8" t="e">
        <f t="shared" si="234"/>
        <v>#DIV/0!</v>
      </c>
      <c r="W211" s="75">
        <v>0</v>
      </c>
      <c r="X211" s="8" t="e">
        <f t="shared" si="235"/>
        <v>#DIV/0!</v>
      </c>
      <c r="Y211" s="75">
        <v>0</v>
      </c>
      <c r="Z211" s="8" t="e">
        <f t="shared" si="236"/>
        <v>#DIV/0!</v>
      </c>
      <c r="AA211" s="75">
        <v>0</v>
      </c>
      <c r="AB211" s="8" t="e">
        <f t="shared" si="237"/>
        <v>#DIV/0!</v>
      </c>
      <c r="AC211" s="75">
        <v>0</v>
      </c>
      <c r="AD211" s="885" t="s">
        <v>339</v>
      </c>
      <c r="AE211" s="856"/>
      <c r="AF211" s="856"/>
      <c r="AG211" s="856"/>
      <c r="AH211" s="857"/>
      <c r="AI211" s="290"/>
      <c r="AJ211" s="291"/>
      <c r="AK211" s="291"/>
    </row>
    <row r="212" spans="1:39" s="13" customFormat="1" ht="37.5" customHeight="1" x14ac:dyDescent="0.25">
      <c r="A212" s="34">
        <v>9040</v>
      </c>
      <c r="B212" s="19" t="s">
        <v>242</v>
      </c>
      <c r="C212" s="162"/>
      <c r="D212" s="162">
        <v>0</v>
      </c>
      <c r="E212" s="108">
        <v>0</v>
      </c>
      <c r="F212" s="77">
        <v>0</v>
      </c>
      <c r="G212" s="338">
        <v>3028.23</v>
      </c>
      <c r="H212" s="77">
        <v>0</v>
      </c>
      <c r="I212" s="77">
        <v>0</v>
      </c>
      <c r="J212" s="163"/>
      <c r="K212" s="77">
        <v>0</v>
      </c>
      <c r="L212" s="163"/>
      <c r="M212" s="77">
        <v>0</v>
      </c>
      <c r="N212" s="163"/>
      <c r="O212" s="77">
        <v>0</v>
      </c>
      <c r="P212" s="163"/>
      <c r="Q212" s="77">
        <v>0</v>
      </c>
      <c r="R212" s="163"/>
      <c r="S212" s="77">
        <v>0</v>
      </c>
      <c r="T212" s="163"/>
      <c r="U212" s="521">
        <v>0</v>
      </c>
      <c r="V212" s="163"/>
      <c r="W212" s="77">
        <v>0</v>
      </c>
      <c r="X212" s="163"/>
      <c r="Y212" s="77">
        <v>0</v>
      </c>
      <c r="Z212" s="163"/>
      <c r="AA212" s="77">
        <v>0</v>
      </c>
      <c r="AB212" s="163"/>
      <c r="AC212" s="77">
        <v>0</v>
      </c>
      <c r="AD212" s="903" t="s">
        <v>223</v>
      </c>
      <c r="AE212" s="904"/>
      <c r="AF212" s="904"/>
      <c r="AG212" s="904"/>
      <c r="AH212" s="905"/>
      <c r="AI212" s="290"/>
      <c r="AJ212" s="291"/>
      <c r="AK212" s="291"/>
    </row>
    <row r="213" spans="1:39" s="13" customFormat="1" ht="33.75" customHeight="1" x14ac:dyDescent="0.25">
      <c r="A213" s="34">
        <v>9041</v>
      </c>
      <c r="B213" s="19" t="s">
        <v>221</v>
      </c>
      <c r="C213" s="117">
        <v>3748</v>
      </c>
      <c r="D213" s="108">
        <v>0</v>
      </c>
      <c r="E213" s="108">
        <v>0</v>
      </c>
      <c r="F213" s="77">
        <v>4990</v>
      </c>
      <c r="G213" s="338">
        <v>0</v>
      </c>
      <c r="H213" s="77">
        <v>0</v>
      </c>
      <c r="I213" s="77">
        <v>0</v>
      </c>
      <c r="J213" s="8" t="e">
        <f t="shared" ref="J213" si="238">(K213-I213)/I213</f>
        <v>#DIV/0!</v>
      </c>
      <c r="K213" s="77">
        <v>0</v>
      </c>
      <c r="L213" s="8" t="e">
        <f t="shared" ref="L213:L226" si="239">(M213-K213)/K213</f>
        <v>#DIV/0!</v>
      </c>
      <c r="M213" s="77">
        <v>0</v>
      </c>
      <c r="N213" s="8" t="e">
        <f t="shared" ref="N213:N226" si="240">(O213-M213)/M213</f>
        <v>#DIV/0!</v>
      </c>
      <c r="O213" s="77">
        <v>0</v>
      </c>
      <c r="P213" s="8" t="e">
        <f t="shared" ref="P213:P226" si="241">(Q213-O213)/O213</f>
        <v>#DIV/0!</v>
      </c>
      <c r="Q213" s="77">
        <v>0</v>
      </c>
      <c r="R213" s="8" t="e">
        <f t="shared" ref="R213:R227" si="242">(S213-Q213)/Q213</f>
        <v>#DIV/0!</v>
      </c>
      <c r="S213" s="77">
        <v>0</v>
      </c>
      <c r="T213" s="8" t="e">
        <f t="shared" ref="T213:T227" si="243">(U213-S213)/S213</f>
        <v>#DIV/0!</v>
      </c>
      <c r="U213" s="521">
        <v>0</v>
      </c>
      <c r="V213" s="8" t="e">
        <f t="shared" ref="V213:V227" si="244">(W213-U213)/U213</f>
        <v>#DIV/0!</v>
      </c>
      <c r="W213" s="75">
        <v>0</v>
      </c>
      <c r="X213" s="8" t="e">
        <f t="shared" ref="X213:X227" si="245">(Y213-W213)/W213</f>
        <v>#DIV/0!</v>
      </c>
      <c r="Y213" s="75">
        <v>0</v>
      </c>
      <c r="Z213" s="8" t="e">
        <f t="shared" ref="Z213:Z227" si="246">(AA213-Y213)/Y213</f>
        <v>#DIV/0!</v>
      </c>
      <c r="AA213" s="75">
        <v>0</v>
      </c>
      <c r="AB213" s="8" t="e">
        <f t="shared" ref="AB213:AB227" si="247">(AC213-AA213)/AA213</f>
        <v>#DIV/0!</v>
      </c>
      <c r="AC213" s="75">
        <v>0</v>
      </c>
      <c r="AD213" s="888" t="s">
        <v>222</v>
      </c>
      <c r="AE213" s="889"/>
      <c r="AF213" s="889"/>
      <c r="AG213" s="889"/>
      <c r="AH213" s="890"/>
      <c r="AI213" s="290"/>
      <c r="AJ213" s="291"/>
      <c r="AK213" s="291"/>
    </row>
    <row r="214" spans="1:39" s="13" customFormat="1" ht="36.75" customHeight="1" x14ac:dyDescent="0.25">
      <c r="A214" s="121">
        <v>9042</v>
      </c>
      <c r="B214" s="70" t="s">
        <v>244</v>
      </c>
      <c r="C214" s="117"/>
      <c r="D214" s="108"/>
      <c r="E214" s="108"/>
      <c r="F214" s="118"/>
      <c r="G214" s="338">
        <v>54.12</v>
      </c>
      <c r="H214" s="77">
        <v>0</v>
      </c>
      <c r="I214" s="77">
        <v>0</v>
      </c>
      <c r="J214" s="8" t="e">
        <f t="shared" ref="J214" si="248">(K214-I214)/I214</f>
        <v>#DIV/0!</v>
      </c>
      <c r="K214" s="77">
        <v>0</v>
      </c>
      <c r="L214" s="8" t="e">
        <f t="shared" si="239"/>
        <v>#DIV/0!</v>
      </c>
      <c r="M214" s="77">
        <v>0</v>
      </c>
      <c r="N214" s="8" t="e">
        <f t="shared" si="240"/>
        <v>#DIV/0!</v>
      </c>
      <c r="O214" s="77">
        <v>0</v>
      </c>
      <c r="P214" s="8" t="e">
        <f t="shared" si="241"/>
        <v>#DIV/0!</v>
      </c>
      <c r="Q214" s="77">
        <v>0</v>
      </c>
      <c r="R214" s="8" t="e">
        <f t="shared" si="242"/>
        <v>#DIV/0!</v>
      </c>
      <c r="S214" s="77">
        <v>0</v>
      </c>
      <c r="T214" s="8" t="e">
        <f t="shared" si="243"/>
        <v>#DIV/0!</v>
      </c>
      <c r="U214" s="521">
        <v>0</v>
      </c>
      <c r="V214" s="8" t="e">
        <f t="shared" si="244"/>
        <v>#DIV/0!</v>
      </c>
      <c r="W214" s="75">
        <v>0</v>
      </c>
      <c r="X214" s="8" t="e">
        <f t="shared" si="245"/>
        <v>#DIV/0!</v>
      </c>
      <c r="Y214" s="75">
        <v>0</v>
      </c>
      <c r="Z214" s="8" t="e">
        <f t="shared" si="246"/>
        <v>#DIV/0!</v>
      </c>
      <c r="AA214" s="75">
        <v>0</v>
      </c>
      <c r="AB214" s="8" t="e">
        <f t="shared" si="247"/>
        <v>#DIV/0!</v>
      </c>
      <c r="AC214" s="75">
        <v>0</v>
      </c>
      <c r="AD214" s="908" t="s">
        <v>245</v>
      </c>
      <c r="AE214" s="909"/>
      <c r="AF214" s="909"/>
      <c r="AG214" s="909"/>
      <c r="AH214" s="910"/>
      <c r="AI214" s="290"/>
      <c r="AJ214" s="291"/>
      <c r="AK214" s="291"/>
    </row>
    <row r="215" spans="1:39" s="13" customFormat="1" ht="36.6" customHeight="1" x14ac:dyDescent="0.25">
      <c r="A215" s="34">
        <v>9043</v>
      </c>
      <c r="B215" s="19" t="s">
        <v>256</v>
      </c>
      <c r="C215" s="117"/>
      <c r="D215" s="108"/>
      <c r="E215" s="331"/>
      <c r="F215" s="332"/>
      <c r="G215" s="362">
        <v>0</v>
      </c>
      <c r="H215" s="77">
        <v>13526.72</v>
      </c>
      <c r="I215" s="77">
        <v>0</v>
      </c>
      <c r="J215" s="8" t="e">
        <f t="shared" ref="J215" si="249">(K215-I215)/I215</f>
        <v>#DIV/0!</v>
      </c>
      <c r="K215" s="77">
        <v>0</v>
      </c>
      <c r="L215" s="8" t="e">
        <f t="shared" si="239"/>
        <v>#DIV/0!</v>
      </c>
      <c r="M215" s="77">
        <v>0</v>
      </c>
      <c r="N215" s="8" t="e">
        <f t="shared" si="240"/>
        <v>#DIV/0!</v>
      </c>
      <c r="O215" s="77">
        <v>0</v>
      </c>
      <c r="P215" s="8" t="e">
        <f t="shared" si="241"/>
        <v>#DIV/0!</v>
      </c>
      <c r="Q215" s="77">
        <v>0</v>
      </c>
      <c r="R215" s="8" t="e">
        <f t="shared" si="242"/>
        <v>#DIV/0!</v>
      </c>
      <c r="S215" s="77">
        <v>0</v>
      </c>
      <c r="T215" s="8" t="e">
        <f t="shared" si="243"/>
        <v>#DIV/0!</v>
      </c>
      <c r="U215" s="521">
        <v>0</v>
      </c>
      <c r="V215" s="8" t="e">
        <f t="shared" si="244"/>
        <v>#DIV/0!</v>
      </c>
      <c r="W215" s="75">
        <v>0</v>
      </c>
      <c r="X215" s="8" t="e">
        <f t="shared" si="245"/>
        <v>#DIV/0!</v>
      </c>
      <c r="Y215" s="75">
        <v>0</v>
      </c>
      <c r="Z215" s="8" t="e">
        <f t="shared" si="246"/>
        <v>#DIV/0!</v>
      </c>
      <c r="AA215" s="75">
        <v>0</v>
      </c>
      <c r="AB215" s="8" t="e">
        <f t="shared" si="247"/>
        <v>#DIV/0!</v>
      </c>
      <c r="AC215" s="75">
        <v>0</v>
      </c>
      <c r="AD215" s="899" t="s">
        <v>258</v>
      </c>
      <c r="AE215" s="900"/>
      <c r="AF215" s="900"/>
      <c r="AG215" s="900"/>
      <c r="AH215" s="901"/>
      <c r="AI215" s="290"/>
      <c r="AJ215" s="291"/>
      <c r="AK215" s="291"/>
    </row>
    <row r="216" spans="1:39" s="13" customFormat="1" ht="66" customHeight="1" x14ac:dyDescent="0.25">
      <c r="A216" s="121">
        <v>9044</v>
      </c>
      <c r="B216" s="70" t="s">
        <v>320</v>
      </c>
      <c r="C216" s="117"/>
      <c r="D216" s="108"/>
      <c r="E216" s="331"/>
      <c r="F216" s="332"/>
      <c r="G216" s="362"/>
      <c r="H216" s="77"/>
      <c r="I216" s="118"/>
      <c r="J216" s="68"/>
      <c r="K216" s="118"/>
      <c r="L216" s="68"/>
      <c r="M216" s="118"/>
      <c r="N216" s="68"/>
      <c r="O216" s="77">
        <v>32200</v>
      </c>
      <c r="P216" s="8">
        <f t="shared" si="241"/>
        <v>-1</v>
      </c>
      <c r="Q216" s="77">
        <v>0</v>
      </c>
      <c r="R216" s="8" t="e">
        <f t="shared" ref="R216" si="250">(S216-Q216)/Q216</f>
        <v>#DIV/0!</v>
      </c>
      <c r="S216" s="77">
        <v>462.8</v>
      </c>
      <c r="T216" s="8">
        <f t="shared" ref="T216" si="251">(U216-S216)/S216</f>
        <v>-1</v>
      </c>
      <c r="U216" s="521">
        <v>0</v>
      </c>
      <c r="V216" s="8" t="e">
        <f t="shared" ref="V216" si="252">(W216-U216)/U216</f>
        <v>#DIV/0!</v>
      </c>
      <c r="W216" s="75">
        <v>0</v>
      </c>
      <c r="X216" s="8" t="e">
        <f t="shared" si="245"/>
        <v>#DIV/0!</v>
      </c>
      <c r="Y216" s="75">
        <v>0</v>
      </c>
      <c r="Z216" s="8" t="e">
        <f t="shared" si="246"/>
        <v>#DIV/0!</v>
      </c>
      <c r="AA216" s="75">
        <v>0</v>
      </c>
      <c r="AB216" s="8" t="e">
        <f t="shared" si="247"/>
        <v>#DIV/0!</v>
      </c>
      <c r="AC216" s="75">
        <v>0</v>
      </c>
      <c r="AD216" s="917" t="s">
        <v>414</v>
      </c>
      <c r="AE216" s="918"/>
      <c r="AF216" s="918"/>
      <c r="AG216" s="918"/>
      <c r="AH216" s="919"/>
      <c r="AI216" s="290"/>
      <c r="AJ216" s="291"/>
      <c r="AK216" s="291"/>
    </row>
    <row r="217" spans="1:39" s="13" customFormat="1" ht="41.45" customHeight="1" x14ac:dyDescent="0.25">
      <c r="A217" s="121">
        <v>9046</v>
      </c>
      <c r="B217" s="70" t="s">
        <v>249</v>
      </c>
      <c r="C217" s="76">
        <v>3748</v>
      </c>
      <c r="D217" s="108">
        <v>0</v>
      </c>
      <c r="E217" s="108">
        <v>960</v>
      </c>
      <c r="F217" s="118">
        <v>0</v>
      </c>
      <c r="G217" s="338">
        <v>2925</v>
      </c>
      <c r="H217" s="381">
        <v>-115</v>
      </c>
      <c r="I217" s="77">
        <v>0</v>
      </c>
      <c r="J217" s="8" t="e">
        <f t="shared" ref="J217:J218" si="253">(K217-I217)/I217</f>
        <v>#DIV/0!</v>
      </c>
      <c r="K217" s="77">
        <v>0</v>
      </c>
      <c r="L217" s="8" t="e">
        <f t="shared" si="239"/>
        <v>#DIV/0!</v>
      </c>
      <c r="M217" s="77">
        <v>0</v>
      </c>
      <c r="N217" s="8" t="e">
        <f t="shared" si="240"/>
        <v>#DIV/0!</v>
      </c>
      <c r="O217" s="77">
        <v>0</v>
      </c>
      <c r="P217" s="8" t="e">
        <f t="shared" si="241"/>
        <v>#DIV/0!</v>
      </c>
      <c r="Q217" s="77">
        <v>0</v>
      </c>
      <c r="R217" s="8" t="e">
        <f t="shared" si="242"/>
        <v>#DIV/0!</v>
      </c>
      <c r="S217" s="77">
        <v>0</v>
      </c>
      <c r="T217" s="8" t="e">
        <f t="shared" si="243"/>
        <v>#DIV/0!</v>
      </c>
      <c r="U217" s="521">
        <v>0</v>
      </c>
      <c r="V217" s="8" t="e">
        <f t="shared" si="244"/>
        <v>#DIV/0!</v>
      </c>
      <c r="W217" s="75">
        <v>0</v>
      </c>
      <c r="X217" s="8" t="e">
        <f t="shared" si="245"/>
        <v>#DIV/0!</v>
      </c>
      <c r="Y217" s="75">
        <v>0</v>
      </c>
      <c r="Z217" s="8" t="e">
        <f t="shared" si="246"/>
        <v>#DIV/0!</v>
      </c>
      <c r="AA217" s="75">
        <v>0</v>
      </c>
      <c r="AB217" s="8" t="e">
        <f t="shared" si="247"/>
        <v>#DIV/0!</v>
      </c>
      <c r="AC217" s="75">
        <v>0</v>
      </c>
      <c r="AD217" s="746" t="s">
        <v>251</v>
      </c>
      <c r="AE217" s="1105"/>
      <c r="AF217" s="1105"/>
      <c r="AG217" s="1105"/>
      <c r="AH217" s="1106"/>
      <c r="AI217" s="290"/>
      <c r="AJ217" s="291"/>
      <c r="AK217" s="291"/>
    </row>
    <row r="218" spans="1:39" s="20" customFormat="1" ht="35.450000000000003" customHeight="1" x14ac:dyDescent="0.25">
      <c r="A218" s="35">
        <v>9047</v>
      </c>
      <c r="B218" s="19" t="s">
        <v>241</v>
      </c>
      <c r="C218" s="76">
        <v>0</v>
      </c>
      <c r="D218" s="108">
        <v>0</v>
      </c>
      <c r="E218" s="108">
        <v>0</v>
      </c>
      <c r="F218" s="77">
        <v>14673</v>
      </c>
      <c r="G218" s="338">
        <v>0</v>
      </c>
      <c r="H218" s="77">
        <v>0</v>
      </c>
      <c r="I218" s="77">
        <v>0</v>
      </c>
      <c r="J218" s="8" t="e">
        <f t="shared" si="253"/>
        <v>#DIV/0!</v>
      </c>
      <c r="K218" s="77">
        <v>0</v>
      </c>
      <c r="L218" s="8" t="e">
        <f t="shared" si="239"/>
        <v>#DIV/0!</v>
      </c>
      <c r="M218" s="77">
        <v>0</v>
      </c>
      <c r="N218" s="8" t="e">
        <f t="shared" si="240"/>
        <v>#DIV/0!</v>
      </c>
      <c r="O218" s="77">
        <v>0</v>
      </c>
      <c r="P218" s="8" t="e">
        <f t="shared" si="241"/>
        <v>#DIV/0!</v>
      </c>
      <c r="Q218" s="77">
        <v>0</v>
      </c>
      <c r="R218" s="8" t="e">
        <f t="shared" si="242"/>
        <v>#DIV/0!</v>
      </c>
      <c r="S218" s="77">
        <v>0</v>
      </c>
      <c r="T218" s="8" t="e">
        <f t="shared" si="243"/>
        <v>#DIV/0!</v>
      </c>
      <c r="U218" s="521">
        <v>0</v>
      </c>
      <c r="V218" s="8" t="e">
        <f t="shared" si="244"/>
        <v>#DIV/0!</v>
      </c>
      <c r="W218" s="75">
        <v>0</v>
      </c>
      <c r="X218" s="8" t="e">
        <f t="shared" si="245"/>
        <v>#DIV/0!</v>
      </c>
      <c r="Y218" s="75">
        <v>0</v>
      </c>
      <c r="Z218" s="8" t="e">
        <f t="shared" si="246"/>
        <v>#DIV/0!</v>
      </c>
      <c r="AA218" s="75">
        <v>0</v>
      </c>
      <c r="AB218" s="8" t="e">
        <f t="shared" si="247"/>
        <v>#DIV/0!</v>
      </c>
      <c r="AC218" s="75">
        <v>0</v>
      </c>
      <c r="AD218" s="676" t="s">
        <v>266</v>
      </c>
      <c r="AE218" s="706"/>
      <c r="AF218" s="706"/>
      <c r="AG218" s="706"/>
      <c r="AH218" s="707"/>
      <c r="AI218" s="290"/>
      <c r="AJ218" s="291"/>
      <c r="AK218" s="291"/>
    </row>
    <row r="219" spans="1:39" s="20" customFormat="1" ht="31.5" customHeight="1" x14ac:dyDescent="0.25">
      <c r="A219" s="35">
        <v>9048</v>
      </c>
      <c r="B219" s="5" t="s">
        <v>38</v>
      </c>
      <c r="C219" s="76">
        <v>0</v>
      </c>
      <c r="D219" s="108">
        <v>0</v>
      </c>
      <c r="E219" s="108">
        <v>0</v>
      </c>
      <c r="F219" s="77">
        <v>0</v>
      </c>
      <c r="G219" s="338">
        <v>0</v>
      </c>
      <c r="H219" s="77">
        <v>0</v>
      </c>
      <c r="I219" s="77">
        <v>0</v>
      </c>
      <c r="J219" s="8" t="e">
        <f t="shared" ref="J219:J226" si="254">(K219-I219)/I219</f>
        <v>#DIV/0!</v>
      </c>
      <c r="K219" s="77">
        <v>0</v>
      </c>
      <c r="L219" s="8" t="e">
        <f t="shared" si="239"/>
        <v>#DIV/0!</v>
      </c>
      <c r="M219" s="77">
        <v>0</v>
      </c>
      <c r="N219" s="8" t="e">
        <f t="shared" si="240"/>
        <v>#DIV/0!</v>
      </c>
      <c r="O219" s="77">
        <v>0</v>
      </c>
      <c r="P219" s="8" t="e">
        <f t="shared" si="241"/>
        <v>#DIV/0!</v>
      </c>
      <c r="Q219" s="77">
        <v>0</v>
      </c>
      <c r="R219" s="8" t="e">
        <f t="shared" si="242"/>
        <v>#DIV/0!</v>
      </c>
      <c r="S219" s="77">
        <v>0</v>
      </c>
      <c r="T219" s="8" t="e">
        <f t="shared" si="243"/>
        <v>#DIV/0!</v>
      </c>
      <c r="U219" s="521">
        <v>0</v>
      </c>
      <c r="V219" s="8" t="e">
        <f t="shared" si="244"/>
        <v>#DIV/0!</v>
      </c>
      <c r="W219" s="75">
        <v>0</v>
      </c>
      <c r="X219" s="8" t="e">
        <f t="shared" si="245"/>
        <v>#DIV/0!</v>
      </c>
      <c r="Y219" s="75">
        <v>0</v>
      </c>
      <c r="Z219" s="8" t="e">
        <f t="shared" si="246"/>
        <v>#DIV/0!</v>
      </c>
      <c r="AA219" s="75">
        <v>0</v>
      </c>
      <c r="AB219" s="8" t="e">
        <f t="shared" si="247"/>
        <v>#DIV/0!</v>
      </c>
      <c r="AC219" s="75">
        <v>0</v>
      </c>
      <c r="AD219" s="769">
        <v>5</v>
      </c>
      <c r="AE219" s="709"/>
      <c r="AF219" s="709"/>
      <c r="AG219" s="709"/>
      <c r="AH219" s="710"/>
      <c r="AI219" s="290"/>
      <c r="AJ219" s="291"/>
      <c r="AK219" s="291"/>
    </row>
    <row r="220" spans="1:39" s="20" customFormat="1" ht="33.6" customHeight="1" x14ac:dyDescent="0.25">
      <c r="A220" s="34">
        <v>9049</v>
      </c>
      <c r="B220" s="19" t="s">
        <v>138</v>
      </c>
      <c r="C220" s="76">
        <v>0</v>
      </c>
      <c r="D220" s="108">
        <v>0</v>
      </c>
      <c r="E220" s="108">
        <v>0</v>
      </c>
      <c r="F220" s="77">
        <v>0</v>
      </c>
      <c r="G220" s="338">
        <v>0</v>
      </c>
      <c r="H220" s="77">
        <v>0</v>
      </c>
      <c r="I220" s="77">
        <v>0</v>
      </c>
      <c r="J220" s="8" t="e">
        <f t="shared" si="254"/>
        <v>#DIV/0!</v>
      </c>
      <c r="K220" s="77">
        <v>0</v>
      </c>
      <c r="L220" s="8" t="e">
        <f t="shared" si="239"/>
        <v>#DIV/0!</v>
      </c>
      <c r="M220" s="77">
        <v>0</v>
      </c>
      <c r="N220" s="8" t="e">
        <f t="shared" si="240"/>
        <v>#DIV/0!</v>
      </c>
      <c r="O220" s="77">
        <v>0</v>
      </c>
      <c r="P220" s="8" t="e">
        <f t="shared" si="241"/>
        <v>#DIV/0!</v>
      </c>
      <c r="Q220" s="77">
        <v>0</v>
      </c>
      <c r="R220" s="8" t="e">
        <f t="shared" si="242"/>
        <v>#DIV/0!</v>
      </c>
      <c r="S220" s="77">
        <v>0</v>
      </c>
      <c r="T220" s="8" t="e">
        <f t="shared" si="243"/>
        <v>#DIV/0!</v>
      </c>
      <c r="U220" s="521">
        <v>0</v>
      </c>
      <c r="V220" s="8" t="e">
        <f t="shared" si="244"/>
        <v>#DIV/0!</v>
      </c>
      <c r="W220" s="75">
        <v>0</v>
      </c>
      <c r="X220" s="8" t="e">
        <f t="shared" si="245"/>
        <v>#DIV/0!</v>
      </c>
      <c r="Y220" s="75">
        <v>0</v>
      </c>
      <c r="Z220" s="8" t="e">
        <f t="shared" si="246"/>
        <v>#DIV/0!</v>
      </c>
      <c r="AA220" s="75">
        <v>0</v>
      </c>
      <c r="AB220" s="8" t="e">
        <f t="shared" si="247"/>
        <v>#DIV/0!</v>
      </c>
      <c r="AC220" s="75">
        <v>0</v>
      </c>
      <c r="AD220" s="769" t="s">
        <v>188</v>
      </c>
      <c r="AE220" s="709"/>
      <c r="AF220" s="709"/>
      <c r="AG220" s="709"/>
      <c r="AH220" s="710"/>
      <c r="AI220" s="290"/>
      <c r="AJ220" s="291"/>
      <c r="AK220" s="291"/>
    </row>
    <row r="221" spans="1:39" s="20" customFormat="1" ht="44.25" customHeight="1" x14ac:dyDescent="0.25">
      <c r="A221" s="121">
        <v>9050</v>
      </c>
      <c r="B221" s="120" t="s">
        <v>193</v>
      </c>
      <c r="C221" s="89">
        <v>0</v>
      </c>
      <c r="D221" s="108">
        <v>0</v>
      </c>
      <c r="E221" s="108">
        <v>224</v>
      </c>
      <c r="F221" s="77">
        <v>181.25</v>
      </c>
      <c r="G221" s="338">
        <v>0</v>
      </c>
      <c r="H221" s="77">
        <v>0</v>
      </c>
      <c r="I221" s="77">
        <v>508</v>
      </c>
      <c r="J221" s="8">
        <f>(K221-I221)/I221</f>
        <v>-1</v>
      </c>
      <c r="K221" s="77">
        <v>0</v>
      </c>
      <c r="L221" s="8" t="e">
        <f>(M221-K221)/K221</f>
        <v>#DIV/0!</v>
      </c>
      <c r="M221" s="77">
        <v>0</v>
      </c>
      <c r="N221" s="8" t="e">
        <f>(O221-M221)/M221</f>
        <v>#DIV/0!</v>
      </c>
      <c r="O221" s="77">
        <v>0</v>
      </c>
      <c r="P221" s="8" t="e">
        <f>(Q221-O221)/O221</f>
        <v>#DIV/0!</v>
      </c>
      <c r="Q221" s="77">
        <v>0</v>
      </c>
      <c r="R221" s="8" t="e">
        <f>(S221-Q221)/Q221</f>
        <v>#DIV/0!</v>
      </c>
      <c r="S221" s="77">
        <v>0</v>
      </c>
      <c r="T221" s="8" t="e">
        <f>(U221-S221)/S221</f>
        <v>#DIV/0!</v>
      </c>
      <c r="U221" s="521">
        <v>0</v>
      </c>
      <c r="V221" s="8" t="e">
        <f>(W221-U221)/U221</f>
        <v>#DIV/0!</v>
      </c>
      <c r="W221" s="75">
        <v>0</v>
      </c>
      <c r="X221" s="8" t="e">
        <f>(Y221-W221)/W221</f>
        <v>#DIV/0!</v>
      </c>
      <c r="Y221" s="75">
        <v>0</v>
      </c>
      <c r="Z221" s="8" t="e">
        <f t="shared" si="246"/>
        <v>#DIV/0!</v>
      </c>
      <c r="AA221" s="75">
        <v>0</v>
      </c>
      <c r="AB221" s="8" t="e">
        <f t="shared" si="247"/>
        <v>#DIV/0!</v>
      </c>
      <c r="AC221" s="75">
        <v>0</v>
      </c>
      <c r="AD221" s="711" t="s">
        <v>271</v>
      </c>
      <c r="AE221" s="861"/>
      <c r="AF221" s="861"/>
      <c r="AG221" s="861"/>
      <c r="AH221" s="862"/>
      <c r="AI221" s="290"/>
      <c r="AJ221" s="291"/>
      <c r="AK221" s="291"/>
    </row>
    <row r="222" spans="1:39" s="20" customFormat="1" ht="143.25" customHeight="1" x14ac:dyDescent="0.25">
      <c r="A222" s="34">
        <v>9051</v>
      </c>
      <c r="B222" s="120" t="s">
        <v>446</v>
      </c>
      <c r="C222" s="76"/>
      <c r="D222" s="108"/>
      <c r="E222" s="108"/>
      <c r="F222" s="77"/>
      <c r="G222" s="338"/>
      <c r="H222" s="77"/>
      <c r="I222" s="360"/>
      <c r="J222" s="361"/>
      <c r="K222" s="360"/>
      <c r="L222" s="361"/>
      <c r="M222" s="360"/>
      <c r="N222" s="361"/>
      <c r="O222" s="360"/>
      <c r="P222" s="361"/>
      <c r="Q222" s="77">
        <v>0</v>
      </c>
      <c r="R222" s="8" t="e">
        <f t="shared" ref="R222" si="255">(S222-Q222)/Q222</f>
        <v>#DIV/0!</v>
      </c>
      <c r="S222" s="77">
        <v>0</v>
      </c>
      <c r="T222" s="8" t="e">
        <f t="shared" ref="T222" si="256">(U222-S222)/S222</f>
        <v>#DIV/0!</v>
      </c>
      <c r="U222" s="521">
        <v>3225</v>
      </c>
      <c r="V222" s="8">
        <f t="shared" ref="V222:V223" si="257">(W222-U222)/U222</f>
        <v>-1</v>
      </c>
      <c r="W222" s="75">
        <v>0</v>
      </c>
      <c r="X222" s="8" t="e">
        <f t="shared" ref="X222" si="258">(Y222-W222)/W222</f>
        <v>#DIV/0!</v>
      </c>
      <c r="Y222" s="75">
        <v>0</v>
      </c>
      <c r="Z222" s="8" t="e">
        <f t="shared" si="246"/>
        <v>#DIV/0!</v>
      </c>
      <c r="AA222" s="75">
        <v>0</v>
      </c>
      <c r="AB222" s="8" t="e">
        <f t="shared" si="247"/>
        <v>#DIV/0!</v>
      </c>
      <c r="AC222" s="75">
        <v>0</v>
      </c>
      <c r="AD222" s="726" t="s">
        <v>455</v>
      </c>
      <c r="AE222" s="875"/>
      <c r="AF222" s="875"/>
      <c r="AG222" s="875"/>
      <c r="AH222" s="876"/>
      <c r="AI222" s="290"/>
      <c r="AJ222" s="291"/>
      <c r="AK222" s="291"/>
    </row>
    <row r="223" spans="1:39" s="20" customFormat="1" ht="82.5" customHeight="1" x14ac:dyDescent="0.25">
      <c r="A223" s="626">
        <v>9052</v>
      </c>
      <c r="B223" s="627" t="s">
        <v>479</v>
      </c>
      <c r="C223" s="76">
        <v>0</v>
      </c>
      <c r="D223" s="108">
        <v>12369.73</v>
      </c>
      <c r="E223" s="108">
        <v>0</v>
      </c>
      <c r="F223" s="77">
        <v>0</v>
      </c>
      <c r="G223" s="338">
        <v>0</v>
      </c>
      <c r="H223" s="77">
        <v>0</v>
      </c>
      <c r="I223" s="77">
        <v>0</v>
      </c>
      <c r="J223" s="8" t="e">
        <f t="shared" si="254"/>
        <v>#DIV/0!</v>
      </c>
      <c r="K223" s="77">
        <v>0</v>
      </c>
      <c r="L223" s="361" t="e">
        <f t="shared" si="239"/>
        <v>#DIV/0!</v>
      </c>
      <c r="M223" s="360">
        <v>0</v>
      </c>
      <c r="N223" s="361" t="e">
        <f t="shared" si="240"/>
        <v>#DIV/0!</v>
      </c>
      <c r="O223" s="360">
        <v>0</v>
      </c>
      <c r="P223" s="361" t="e">
        <f t="shared" si="241"/>
        <v>#DIV/0!</v>
      </c>
      <c r="Q223" s="360">
        <v>0</v>
      </c>
      <c r="R223" s="361" t="e">
        <f t="shared" si="242"/>
        <v>#DIV/0!</v>
      </c>
      <c r="S223" s="360">
        <v>0</v>
      </c>
      <c r="T223" s="361" t="e">
        <f t="shared" si="243"/>
        <v>#DIV/0!</v>
      </c>
      <c r="U223" s="629">
        <v>25678</v>
      </c>
      <c r="V223" s="8">
        <f t="shared" si="257"/>
        <v>-1</v>
      </c>
      <c r="W223" s="75">
        <v>0</v>
      </c>
      <c r="X223" s="8" t="e">
        <f t="shared" ref="X223" si="259">(Y223-W223)/W223</f>
        <v>#DIV/0!</v>
      </c>
      <c r="Y223" s="75">
        <v>0</v>
      </c>
      <c r="Z223" s="8" t="e">
        <f t="shared" ref="Z223" si="260">(AA223-Y223)/Y223</f>
        <v>#DIV/0!</v>
      </c>
      <c r="AA223" s="75">
        <v>0</v>
      </c>
      <c r="AB223" s="8" t="e">
        <f t="shared" ref="AB223" si="261">(AC223-AA223)/AA223</f>
        <v>#DIV/0!</v>
      </c>
      <c r="AC223" s="75">
        <v>0</v>
      </c>
      <c r="AD223" s="896" t="s">
        <v>500</v>
      </c>
      <c r="AE223" s="897"/>
      <c r="AF223" s="897"/>
      <c r="AG223" s="897"/>
      <c r="AH223" s="898"/>
      <c r="AI223" s="129"/>
    </row>
    <row r="224" spans="1:39" s="20" customFormat="1" ht="76.5" customHeight="1" x14ac:dyDescent="0.25">
      <c r="A224" s="34">
        <v>9053</v>
      </c>
      <c r="B224" s="36" t="s">
        <v>378</v>
      </c>
      <c r="C224" s="76">
        <v>0</v>
      </c>
      <c r="D224" s="108">
        <v>0</v>
      </c>
      <c r="E224" s="108">
        <v>0</v>
      </c>
      <c r="F224" s="77">
        <v>0</v>
      </c>
      <c r="G224" s="338">
        <v>0</v>
      </c>
      <c r="H224" s="77">
        <v>0</v>
      </c>
      <c r="I224" s="77">
        <v>0</v>
      </c>
      <c r="J224" s="8" t="e">
        <f t="shared" si="254"/>
        <v>#DIV/0!</v>
      </c>
      <c r="K224" s="77">
        <v>0</v>
      </c>
      <c r="L224" s="8" t="e">
        <f t="shared" si="239"/>
        <v>#DIV/0!</v>
      </c>
      <c r="M224" s="77">
        <v>0</v>
      </c>
      <c r="N224" s="8" t="e">
        <f t="shared" si="240"/>
        <v>#DIV/0!</v>
      </c>
      <c r="O224" s="77">
        <v>0</v>
      </c>
      <c r="P224" s="8" t="e">
        <f t="shared" si="241"/>
        <v>#DIV/0!</v>
      </c>
      <c r="Q224" s="77">
        <v>0</v>
      </c>
      <c r="R224" s="8" t="e">
        <f t="shared" si="242"/>
        <v>#DIV/0!</v>
      </c>
      <c r="S224" s="77">
        <v>130</v>
      </c>
      <c r="T224" s="8">
        <f t="shared" si="243"/>
        <v>359</v>
      </c>
      <c r="U224" s="521">
        <v>46800</v>
      </c>
      <c r="V224" s="8">
        <f t="shared" si="244"/>
        <v>-1</v>
      </c>
      <c r="W224" s="75">
        <v>0</v>
      </c>
      <c r="X224" s="8" t="e">
        <f t="shared" si="245"/>
        <v>#DIV/0!</v>
      </c>
      <c r="Y224" s="75">
        <v>0</v>
      </c>
      <c r="Z224" s="8" t="e">
        <f t="shared" si="246"/>
        <v>#DIV/0!</v>
      </c>
      <c r="AA224" s="75">
        <v>0</v>
      </c>
      <c r="AB224" s="8" t="e">
        <f t="shared" si="247"/>
        <v>#DIV/0!</v>
      </c>
      <c r="AC224" s="75">
        <v>0</v>
      </c>
      <c r="AD224" s="708" t="s">
        <v>454</v>
      </c>
      <c r="AE224" s="906"/>
      <c r="AF224" s="906"/>
      <c r="AG224" s="906"/>
      <c r="AH224" s="907"/>
      <c r="AI224" s="129"/>
    </row>
    <row r="225" spans="1:38" ht="80.25" customHeight="1" thickBot="1" x14ac:dyDescent="0.3">
      <c r="A225" s="2">
        <v>9054</v>
      </c>
      <c r="B225" s="19" t="s">
        <v>198</v>
      </c>
      <c r="C225" s="76">
        <v>0</v>
      </c>
      <c r="D225" s="108">
        <v>12300</v>
      </c>
      <c r="E225" s="108">
        <v>0</v>
      </c>
      <c r="F225" s="77">
        <v>0</v>
      </c>
      <c r="G225" s="347">
        <v>0</v>
      </c>
      <c r="H225" s="77">
        <v>13166.67</v>
      </c>
      <c r="I225" s="77">
        <v>0</v>
      </c>
      <c r="J225" s="8" t="e">
        <f t="shared" si="254"/>
        <v>#DIV/0!</v>
      </c>
      <c r="K225" s="77">
        <v>0</v>
      </c>
      <c r="L225" s="8" t="e">
        <f t="shared" si="239"/>
        <v>#DIV/0!</v>
      </c>
      <c r="M225" s="77">
        <v>0</v>
      </c>
      <c r="N225" s="8" t="e">
        <f t="shared" si="240"/>
        <v>#DIV/0!</v>
      </c>
      <c r="O225" s="77">
        <v>33852.959999999999</v>
      </c>
      <c r="P225" s="8">
        <f t="shared" si="241"/>
        <v>-1</v>
      </c>
      <c r="Q225" s="77">
        <v>0</v>
      </c>
      <c r="R225" s="8" t="e">
        <f t="shared" si="242"/>
        <v>#DIV/0!</v>
      </c>
      <c r="S225" s="77">
        <v>0</v>
      </c>
      <c r="T225" s="8" t="e">
        <f t="shared" si="243"/>
        <v>#DIV/0!</v>
      </c>
      <c r="U225" s="521">
        <v>0</v>
      </c>
      <c r="V225" s="8" t="e">
        <f t="shared" si="244"/>
        <v>#DIV/0!</v>
      </c>
      <c r="W225" s="75">
        <v>0</v>
      </c>
      <c r="X225" s="8" t="e">
        <f t="shared" si="245"/>
        <v>#DIV/0!</v>
      </c>
      <c r="Y225" s="75">
        <v>0</v>
      </c>
      <c r="Z225" s="8" t="e">
        <f t="shared" si="246"/>
        <v>#DIV/0!</v>
      </c>
      <c r="AA225" s="75">
        <v>0</v>
      </c>
      <c r="AB225" s="8" t="e">
        <f t="shared" si="247"/>
        <v>#DIV/0!</v>
      </c>
      <c r="AC225" s="75">
        <v>0</v>
      </c>
      <c r="AD225" s="855" t="s">
        <v>313</v>
      </c>
      <c r="AE225" s="891"/>
      <c r="AF225" s="891"/>
      <c r="AG225" s="891"/>
      <c r="AH225" s="892"/>
    </row>
    <row r="226" spans="1:38" ht="32.25" customHeight="1" thickBot="1" x14ac:dyDescent="0.3">
      <c r="A226" s="920" t="s">
        <v>139</v>
      </c>
      <c r="B226" s="921"/>
      <c r="C226" s="101">
        <f t="shared" ref="C226:I226" si="262">SUM(C206:C225)</f>
        <v>10006</v>
      </c>
      <c r="D226" s="101">
        <f t="shared" si="262"/>
        <v>30782.02</v>
      </c>
      <c r="E226" s="101">
        <f t="shared" si="262"/>
        <v>278880.34000000003</v>
      </c>
      <c r="F226" s="101">
        <f t="shared" si="262"/>
        <v>45991.630000000005</v>
      </c>
      <c r="G226" s="323">
        <f t="shared" si="262"/>
        <v>15596.83</v>
      </c>
      <c r="H226" s="92">
        <f t="shared" si="262"/>
        <v>71264.77</v>
      </c>
      <c r="I226" s="92">
        <f t="shared" si="262"/>
        <v>54849</v>
      </c>
      <c r="J226" s="8">
        <f t="shared" si="254"/>
        <v>-1.01063392222283</v>
      </c>
      <c r="K226" s="92">
        <f>SUM(K206:K225)</f>
        <v>-583.26</v>
      </c>
      <c r="L226" s="8">
        <f t="shared" si="239"/>
        <v>-1.8520899770256833</v>
      </c>
      <c r="M226" s="92">
        <f>SUM(M206:M225)</f>
        <v>496.99</v>
      </c>
      <c r="N226" s="8">
        <f t="shared" si="240"/>
        <v>176.60025352622785</v>
      </c>
      <c r="O226" s="92">
        <f>SUM(O206:O225)</f>
        <v>88265.549999999988</v>
      </c>
      <c r="P226" s="8">
        <f t="shared" si="241"/>
        <v>-0.6006045393701166</v>
      </c>
      <c r="Q226" s="92">
        <f>SUM(Q206:Q225)</f>
        <v>35252.86</v>
      </c>
      <c r="R226" s="8">
        <f t="shared" si="242"/>
        <v>1.4211334910132114</v>
      </c>
      <c r="S226" s="92">
        <f>SUM(S206:S225)</f>
        <v>85351.88</v>
      </c>
      <c r="T226" s="8">
        <f t="shared" si="243"/>
        <v>0.15300389399741396</v>
      </c>
      <c r="U226" s="92">
        <f>SUM(U206:U225)</f>
        <v>98411.05</v>
      </c>
      <c r="V226" s="8">
        <f t="shared" si="244"/>
        <v>-1</v>
      </c>
      <c r="W226" s="92">
        <f>SUM(W206:W225)</f>
        <v>0</v>
      </c>
      <c r="X226" s="8" t="e">
        <f t="shared" si="245"/>
        <v>#DIV/0!</v>
      </c>
      <c r="Y226" s="92">
        <f>SUM(Y206:Y225)</f>
        <v>0</v>
      </c>
      <c r="Z226" s="8" t="e">
        <f t="shared" si="246"/>
        <v>#DIV/0!</v>
      </c>
      <c r="AA226" s="92">
        <f>SUM(AA206:AA225)</f>
        <v>0</v>
      </c>
      <c r="AB226" s="8" t="e">
        <f t="shared" si="247"/>
        <v>#DIV/0!</v>
      </c>
      <c r="AC226" s="92">
        <f>SUM(AC206:AC225)</f>
        <v>0</v>
      </c>
      <c r="AD226" s="911"/>
      <c r="AE226" s="912"/>
      <c r="AF226" s="912"/>
      <c r="AG226" s="912"/>
      <c r="AH226" s="913"/>
    </row>
    <row r="227" spans="1:38" ht="40.5" customHeight="1" thickBot="1" x14ac:dyDescent="0.3">
      <c r="A227" s="922" t="s">
        <v>140</v>
      </c>
      <c r="B227" s="923"/>
      <c r="C227" s="102">
        <f t="shared" ref="C227:I227" si="263">C226+C204+C184+C165+C146+C125</f>
        <v>822675.33000000007</v>
      </c>
      <c r="D227" s="102">
        <f t="shared" si="263"/>
        <v>841547.40999999992</v>
      </c>
      <c r="E227" s="102">
        <f t="shared" si="263"/>
        <v>1107133.48</v>
      </c>
      <c r="F227" s="102">
        <f t="shared" si="263"/>
        <v>837528.27999999991</v>
      </c>
      <c r="G227" s="324">
        <f t="shared" si="263"/>
        <v>845625.89000000025</v>
      </c>
      <c r="H227" s="93">
        <f t="shared" si="263"/>
        <v>962339.84999999986</v>
      </c>
      <c r="I227" s="93">
        <f t="shared" si="263"/>
        <v>985919.82</v>
      </c>
      <c r="J227" s="45">
        <f>(K227-I227)/I227</f>
        <v>-0.14611459986675177</v>
      </c>
      <c r="K227" s="93">
        <f>K226+K204+K184+K165+K146+K125</f>
        <v>841862.54</v>
      </c>
      <c r="L227" s="45">
        <f>(M227-K227)/K227</f>
        <v>9.7014115867419454E-2</v>
      </c>
      <c r="M227" s="93">
        <f>M226+M204+M184+M165+M146+M125</f>
        <v>923535.09000000008</v>
      </c>
      <c r="N227" s="45">
        <f>(O227-M227)/M227</f>
        <v>0.1814266201839714</v>
      </c>
      <c r="O227" s="93">
        <f>O226+O204+O184+O165+O146+O125</f>
        <v>1091088.94</v>
      </c>
      <c r="P227" s="45">
        <f>(Q227-O227)/O227</f>
        <v>-3.0383123487623027E-2</v>
      </c>
      <c r="Q227" s="93">
        <f>Q226+Q204+Q184+Q165+Q146+Q125</f>
        <v>1057938.2500000002</v>
      </c>
      <c r="R227" s="45">
        <f t="shared" si="242"/>
        <v>0.2093638168390258</v>
      </c>
      <c r="S227" s="93">
        <f>S226+S204+S184+S165+S146+S125</f>
        <v>1279432.2399999998</v>
      </c>
      <c r="T227" s="45">
        <f t="shared" si="243"/>
        <v>0.11884888315773602</v>
      </c>
      <c r="U227" s="93">
        <f>U226+U204+U184+U165+U146+U125</f>
        <v>1431491.3328000002</v>
      </c>
      <c r="V227" s="45">
        <f t="shared" si="244"/>
        <v>-0.1020776041515971</v>
      </c>
      <c r="W227" s="93">
        <f>W226+W204+W184+W165+W146+W125</f>
        <v>1285368.1271839996</v>
      </c>
      <c r="X227" s="45">
        <f t="shared" si="245"/>
        <v>3.356423572602326E-2</v>
      </c>
      <c r="Y227" s="93">
        <f>Y226+Y204+Y184+Y165+Y146+Y125</f>
        <v>1328510.5259995204</v>
      </c>
      <c r="Z227" s="45">
        <f t="shared" si="246"/>
        <v>2.086612148528439E-2</v>
      </c>
      <c r="AA227" s="93">
        <f>AA226+AA204+AA184+AA165+AA146+AA125</f>
        <v>1356231.3880295055</v>
      </c>
      <c r="AB227" s="45">
        <f t="shared" si="247"/>
        <v>2.057783815484018E-2</v>
      </c>
      <c r="AC227" s="93">
        <f>AC226+AC204+AC184+AC165+AC146+AC125</f>
        <v>1384139.6980328909</v>
      </c>
      <c r="AD227" s="914"/>
      <c r="AE227" s="915"/>
      <c r="AF227" s="915"/>
      <c r="AG227" s="915"/>
      <c r="AH227" s="916"/>
    </row>
    <row r="228" spans="1:38" ht="81" customHeight="1" x14ac:dyDescent="0.25">
      <c r="A228" s="886" t="s">
        <v>3</v>
      </c>
      <c r="B228" s="887"/>
      <c r="C228" s="91" t="str">
        <f>C3</f>
        <v xml:space="preserve">2013/14 Actual Audit Figures </v>
      </c>
      <c r="D228" s="91" t="str">
        <f>D3</f>
        <v xml:space="preserve">2014/15 Actuals </v>
      </c>
      <c r="E228" s="91" t="str">
        <f>E39</f>
        <v>2015/16 Expenditure Audited Year End</v>
      </c>
      <c r="F228" s="88" t="str">
        <f>F3</f>
        <v>2016/17 Income Audited Year End</v>
      </c>
      <c r="G228" s="319" t="str">
        <f>G3</f>
        <v>2017/18 Audited Figures</v>
      </c>
      <c r="H228" s="319" t="str">
        <f>H205</f>
        <v>2018/19 Actual as at 16/5/19</v>
      </c>
      <c r="I228" s="80" t="str">
        <f t="shared" ref="I228:Y228" si="264">I3</f>
        <v>2019/20 Audited Figures</v>
      </c>
      <c r="J228" s="50" t="str">
        <f t="shared" si="264"/>
        <v>2020/21  % change</v>
      </c>
      <c r="K228" s="80" t="str">
        <f t="shared" si="264"/>
        <v>2020/21              Audited Figures</v>
      </c>
      <c r="L228" s="50" t="str">
        <f t="shared" si="264"/>
        <v>2021/22  % change</v>
      </c>
      <c r="M228" s="80" t="str">
        <f t="shared" si="264"/>
        <v>2021/22 Audited Figures</v>
      </c>
      <c r="N228" s="50" t="str">
        <f t="shared" si="264"/>
        <v>2022/23  % change</v>
      </c>
      <c r="O228" s="80" t="str">
        <f t="shared" si="264"/>
        <v>2022/23 - Audited Figures</v>
      </c>
      <c r="P228" s="50" t="str">
        <f t="shared" si="264"/>
        <v>2023/24  % change</v>
      </c>
      <c r="Q228" s="80" t="str">
        <f t="shared" si="264"/>
        <v>2023/24 - Audited Figures</v>
      </c>
      <c r="R228" s="50" t="str">
        <f t="shared" si="264"/>
        <v>2024.25  % change</v>
      </c>
      <c r="S228" s="80" t="str">
        <f t="shared" si="264"/>
        <v>2024/25 Actuals @ 20/5/25</v>
      </c>
      <c r="T228" s="50" t="str">
        <f t="shared" si="264"/>
        <v>2025/26  % change</v>
      </c>
      <c r="U228" s="80" t="str">
        <f t="shared" si="264"/>
        <v>2025/26 - To Jan 26 Finance</v>
      </c>
      <c r="V228" s="50" t="str">
        <f t="shared" si="264"/>
        <v>2026/27  % change</v>
      </c>
      <c r="W228" s="80" t="str">
        <f t="shared" si="264"/>
        <v>2026/27 Approved Budget @ 21/1/26</v>
      </c>
      <c r="X228" s="50" t="str">
        <f t="shared" si="264"/>
        <v>2027/28  % change</v>
      </c>
      <c r="Y228" s="80" t="str">
        <f t="shared" si="264"/>
        <v>2027/28 Estimated Projection</v>
      </c>
      <c r="Z228" s="50" t="str">
        <f t="shared" ref="Z228:AA228" si="265">Z3</f>
        <v>2028/29  % change</v>
      </c>
      <c r="AA228" s="80" t="str">
        <f t="shared" si="265"/>
        <v>2028/29 Estimated Projection</v>
      </c>
      <c r="AB228" s="50" t="str">
        <f t="shared" ref="AB228:AC228" si="266">AB3</f>
        <v>2028/29  % change</v>
      </c>
      <c r="AC228" s="80" t="str">
        <f t="shared" si="266"/>
        <v>2029/30 Estimated Projection</v>
      </c>
      <c r="AD228" s="893" t="s">
        <v>147</v>
      </c>
      <c r="AE228" s="894"/>
      <c r="AF228" s="894"/>
      <c r="AG228" s="894"/>
      <c r="AH228" s="895"/>
    </row>
    <row r="229" spans="1:38" ht="46.5" customHeight="1" x14ac:dyDescent="0.25">
      <c r="A229" s="570">
        <v>3001</v>
      </c>
      <c r="B229" s="571" t="s">
        <v>485</v>
      </c>
      <c r="C229" s="76">
        <v>0</v>
      </c>
      <c r="D229" s="108">
        <v>0</v>
      </c>
      <c r="E229" s="108">
        <v>0</v>
      </c>
      <c r="F229" s="108">
        <v>0</v>
      </c>
      <c r="G229" s="338">
        <v>0</v>
      </c>
      <c r="H229" s="77">
        <v>0</v>
      </c>
      <c r="I229" s="77">
        <v>0</v>
      </c>
      <c r="J229" s="8" t="e">
        <f t="shared" ref="J229:J239" si="267">(K229-I229)/I229</f>
        <v>#DIV/0!</v>
      </c>
      <c r="K229" s="77">
        <v>0</v>
      </c>
      <c r="L229" s="8" t="e">
        <f t="shared" ref="L229:L239" si="268">(M229-K229)/K229</f>
        <v>#DIV/0!</v>
      </c>
      <c r="M229" s="77">
        <v>0</v>
      </c>
      <c r="N229" s="8" t="e">
        <f t="shared" ref="N229:N239" si="269">(O229-M229)/M229</f>
        <v>#DIV/0!</v>
      </c>
      <c r="O229" s="77">
        <v>0</v>
      </c>
      <c r="P229" s="8" t="e">
        <f t="shared" ref="P229:P239" si="270">(Q229-O229)/O229</f>
        <v>#DIV/0!</v>
      </c>
      <c r="Q229" s="77">
        <v>0</v>
      </c>
      <c r="R229" s="8" t="e">
        <f t="shared" ref="R229:R243" si="271">(S229-Q229)/Q229</f>
        <v>#DIV/0!</v>
      </c>
      <c r="S229" s="579">
        <v>11540.45</v>
      </c>
      <c r="T229" s="8">
        <f t="shared" ref="T229:T243" si="272">(U229-S229)/S229</f>
        <v>-3.4491722593139873E-2</v>
      </c>
      <c r="U229" s="521">
        <v>11142.4</v>
      </c>
      <c r="V229" s="8">
        <f t="shared" ref="V229:V241" si="273">(W229-U229)/U229</f>
        <v>0</v>
      </c>
      <c r="W229" s="579">
        <v>11142.4</v>
      </c>
      <c r="X229" s="8">
        <f t="shared" ref="X229:X241" si="274">(Y229-W229)/W229</f>
        <v>0</v>
      </c>
      <c r="Y229" s="579">
        <v>11142.4</v>
      </c>
      <c r="Z229" s="8">
        <f t="shared" ref="Z229:Z234" si="275">(AA229-Y229)/Y229</f>
        <v>0</v>
      </c>
      <c r="AA229" s="579">
        <v>11142.4</v>
      </c>
      <c r="AB229" s="8">
        <f t="shared" ref="AB229:AB234" si="276">(AC229-AA229)/AA229</f>
        <v>0</v>
      </c>
      <c r="AC229" s="579">
        <v>11142.4</v>
      </c>
      <c r="AD229" s="1082" t="s">
        <v>484</v>
      </c>
      <c r="AE229" s="1083"/>
      <c r="AF229" s="1083"/>
      <c r="AG229" s="1083"/>
      <c r="AH229" s="1084"/>
      <c r="AI229" s="532"/>
    </row>
    <row r="230" spans="1:38" ht="25.15" customHeight="1" x14ac:dyDescent="0.25">
      <c r="A230" s="4">
        <v>3008</v>
      </c>
      <c r="B230" s="5" t="s">
        <v>442</v>
      </c>
      <c r="C230" s="76">
        <v>0</v>
      </c>
      <c r="D230" s="108">
        <v>0</v>
      </c>
      <c r="E230" s="108">
        <v>0</v>
      </c>
      <c r="F230" s="108">
        <v>0</v>
      </c>
      <c r="G230" s="338">
        <v>0</v>
      </c>
      <c r="H230" s="77">
        <v>0</v>
      </c>
      <c r="I230" s="77">
        <v>0</v>
      </c>
      <c r="J230" s="8" t="e">
        <f t="shared" ref="J230" si="277">(K230-I230)/I230</f>
        <v>#DIV/0!</v>
      </c>
      <c r="K230" s="77">
        <v>0</v>
      </c>
      <c r="L230" s="8" t="e">
        <f t="shared" ref="L230" si="278">(M230-K230)/K230</f>
        <v>#DIV/0!</v>
      </c>
      <c r="M230" s="77">
        <v>0</v>
      </c>
      <c r="N230" s="8" t="e">
        <f t="shared" ref="N230" si="279">(O230-M230)/M230</f>
        <v>#DIV/0!</v>
      </c>
      <c r="O230" s="77">
        <v>0</v>
      </c>
      <c r="P230" s="8" t="e">
        <f t="shared" ref="P230" si="280">(Q230-O230)/O230</f>
        <v>#DIV/0!</v>
      </c>
      <c r="Q230" s="77">
        <v>0</v>
      </c>
      <c r="R230" s="8" t="e">
        <f t="shared" ref="R230" si="281">(S230-Q230)/Q230</f>
        <v>#DIV/0!</v>
      </c>
      <c r="S230" s="77">
        <v>0</v>
      </c>
      <c r="T230" s="8" t="e">
        <f t="shared" ref="T230" si="282">(U230-S230)/S230</f>
        <v>#DIV/0!</v>
      </c>
      <c r="U230" s="521">
        <v>0</v>
      </c>
      <c r="V230" s="8" t="e">
        <f t="shared" ref="V230" si="283">(W230-U230)/U230</f>
        <v>#DIV/0!</v>
      </c>
      <c r="W230" s="75">
        <v>0</v>
      </c>
      <c r="X230" s="8" t="e">
        <f t="shared" ref="X230" si="284">(Y230-W230)/W230</f>
        <v>#DIV/0!</v>
      </c>
      <c r="Y230" s="75">
        <v>0</v>
      </c>
      <c r="Z230" s="8" t="e">
        <f t="shared" si="275"/>
        <v>#DIV/0!</v>
      </c>
      <c r="AA230" s="75">
        <v>0</v>
      </c>
      <c r="AB230" s="8" t="e">
        <f t="shared" si="276"/>
        <v>#DIV/0!</v>
      </c>
      <c r="AC230" s="75">
        <v>0</v>
      </c>
      <c r="AD230" s="723" t="s">
        <v>443</v>
      </c>
      <c r="AE230" s="724"/>
      <c r="AF230" s="724"/>
      <c r="AG230" s="724"/>
      <c r="AH230" s="725"/>
    </row>
    <row r="231" spans="1:38" ht="45" customHeight="1" x14ac:dyDescent="0.25">
      <c r="A231" s="4">
        <v>3009</v>
      </c>
      <c r="B231" s="5" t="s">
        <v>359</v>
      </c>
      <c r="C231" s="76">
        <v>0</v>
      </c>
      <c r="D231" s="108">
        <v>0</v>
      </c>
      <c r="E231" s="108">
        <v>0</v>
      </c>
      <c r="F231" s="108">
        <v>0</v>
      </c>
      <c r="G231" s="338">
        <v>0</v>
      </c>
      <c r="H231" s="77">
        <v>0</v>
      </c>
      <c r="I231" s="77">
        <v>0</v>
      </c>
      <c r="J231" s="8" t="e">
        <f t="shared" si="267"/>
        <v>#DIV/0!</v>
      </c>
      <c r="K231" s="77">
        <v>0</v>
      </c>
      <c r="L231" s="8" t="e">
        <f t="shared" si="268"/>
        <v>#DIV/0!</v>
      </c>
      <c r="M231" s="77">
        <v>0</v>
      </c>
      <c r="N231" s="8" t="e">
        <f t="shared" si="269"/>
        <v>#DIV/0!</v>
      </c>
      <c r="O231" s="77">
        <v>0</v>
      </c>
      <c r="P231" s="8" t="e">
        <f t="shared" si="270"/>
        <v>#DIV/0!</v>
      </c>
      <c r="Q231" s="77">
        <v>0</v>
      </c>
      <c r="R231" s="8" t="e">
        <f t="shared" si="271"/>
        <v>#DIV/0!</v>
      </c>
      <c r="S231" s="77">
        <v>0</v>
      </c>
      <c r="T231" s="8" t="e">
        <f t="shared" si="272"/>
        <v>#DIV/0!</v>
      </c>
      <c r="U231" s="521">
        <v>0</v>
      </c>
      <c r="V231" s="8" t="e">
        <f t="shared" si="273"/>
        <v>#DIV/0!</v>
      </c>
      <c r="W231" s="77">
        <v>0</v>
      </c>
      <c r="X231" s="8" t="e">
        <f t="shared" si="274"/>
        <v>#DIV/0!</v>
      </c>
      <c r="Y231" s="77">
        <v>0</v>
      </c>
      <c r="Z231" s="8" t="e">
        <f t="shared" si="275"/>
        <v>#DIV/0!</v>
      </c>
      <c r="AA231" s="77">
        <v>0</v>
      </c>
      <c r="AB231" s="8" t="e">
        <f t="shared" si="276"/>
        <v>#DIV/0!</v>
      </c>
      <c r="AC231" s="77">
        <v>0</v>
      </c>
      <c r="AD231" s="723"/>
      <c r="AE231" s="724"/>
      <c r="AF231" s="724"/>
      <c r="AG231" s="724"/>
      <c r="AH231" s="725"/>
    </row>
    <row r="232" spans="1:38" ht="102" customHeight="1" x14ac:dyDescent="0.25">
      <c r="A232" s="69">
        <v>3010</v>
      </c>
      <c r="B232" s="120" t="s">
        <v>208</v>
      </c>
      <c r="C232" s="117">
        <v>0</v>
      </c>
      <c r="D232" s="108">
        <v>258.45999999999998</v>
      </c>
      <c r="E232" s="108">
        <v>258.45999999999998</v>
      </c>
      <c r="F232" s="108">
        <v>525.97</v>
      </c>
      <c r="G232" s="338">
        <v>774.87</v>
      </c>
      <c r="H232" s="108">
        <v>1560</v>
      </c>
      <c r="I232" s="108">
        <v>2039</v>
      </c>
      <c r="J232" s="8">
        <f t="shared" si="267"/>
        <v>0</v>
      </c>
      <c r="K232" s="108">
        <v>2039</v>
      </c>
      <c r="L232" s="8">
        <f t="shared" si="268"/>
        <v>0</v>
      </c>
      <c r="M232" s="108">
        <v>2039</v>
      </c>
      <c r="N232" s="8">
        <f t="shared" si="269"/>
        <v>0</v>
      </c>
      <c r="O232" s="108">
        <v>2039</v>
      </c>
      <c r="P232" s="8">
        <f t="shared" si="270"/>
        <v>0</v>
      </c>
      <c r="Q232" s="108">
        <v>2039</v>
      </c>
      <c r="R232" s="8">
        <f t="shared" si="271"/>
        <v>-0.50956351152525747</v>
      </c>
      <c r="S232" s="108">
        <v>1000</v>
      </c>
      <c r="T232" s="8">
        <f t="shared" si="272"/>
        <v>-1</v>
      </c>
      <c r="U232" s="632">
        <v>0</v>
      </c>
      <c r="V232" s="8" t="e">
        <f t="shared" si="273"/>
        <v>#DIV/0!</v>
      </c>
      <c r="W232" s="633">
        <v>0</v>
      </c>
      <c r="X232" s="8" t="e">
        <f t="shared" si="274"/>
        <v>#DIV/0!</v>
      </c>
      <c r="Y232" s="108">
        <v>0</v>
      </c>
      <c r="Z232" s="8" t="e">
        <f t="shared" si="275"/>
        <v>#DIV/0!</v>
      </c>
      <c r="AA232" s="108">
        <v>0</v>
      </c>
      <c r="AB232" s="8" t="e">
        <f t="shared" si="276"/>
        <v>#DIV/0!</v>
      </c>
      <c r="AC232" s="108">
        <v>0</v>
      </c>
      <c r="AD232" s="720" t="s">
        <v>501</v>
      </c>
      <c r="AE232" s="846"/>
      <c r="AF232" s="846"/>
      <c r="AG232" s="846"/>
      <c r="AH232" s="847"/>
      <c r="AI232" s="539"/>
      <c r="AJ232" s="291"/>
      <c r="AK232" s="291"/>
    </row>
    <row r="233" spans="1:38" ht="46.5" customHeight="1" x14ac:dyDescent="0.25">
      <c r="A233" s="2">
        <v>3011</v>
      </c>
      <c r="B233" s="3" t="s">
        <v>145</v>
      </c>
      <c r="C233" s="76">
        <v>2500</v>
      </c>
      <c r="D233" s="108">
        <v>3500</v>
      </c>
      <c r="E233" s="108">
        <v>4000</v>
      </c>
      <c r="F233" s="77">
        <v>4500</v>
      </c>
      <c r="G233" s="338">
        <v>5000</v>
      </c>
      <c r="H233" s="77">
        <v>5000</v>
      </c>
      <c r="I233" s="77">
        <v>5000</v>
      </c>
      <c r="J233" s="8">
        <f t="shared" si="267"/>
        <v>0</v>
      </c>
      <c r="K233" s="77">
        <v>5000</v>
      </c>
      <c r="L233" s="8">
        <f t="shared" si="268"/>
        <v>0</v>
      </c>
      <c r="M233" s="77">
        <v>5000</v>
      </c>
      <c r="N233" s="8">
        <f t="shared" si="269"/>
        <v>0</v>
      </c>
      <c r="O233" s="77">
        <v>5000</v>
      </c>
      <c r="P233" s="8">
        <f t="shared" si="270"/>
        <v>0</v>
      </c>
      <c r="Q233" s="77">
        <v>5000</v>
      </c>
      <c r="R233" s="8">
        <f t="shared" si="271"/>
        <v>0</v>
      </c>
      <c r="S233" s="77">
        <v>5000</v>
      </c>
      <c r="T233" s="8">
        <f t="shared" si="272"/>
        <v>0</v>
      </c>
      <c r="U233" s="521">
        <v>5000</v>
      </c>
      <c r="V233" s="8">
        <f t="shared" si="273"/>
        <v>0</v>
      </c>
      <c r="W233" s="77">
        <v>5000</v>
      </c>
      <c r="X233" s="8">
        <f t="shared" si="274"/>
        <v>0</v>
      </c>
      <c r="Y233" s="77">
        <v>5000</v>
      </c>
      <c r="Z233" s="8">
        <f t="shared" si="275"/>
        <v>0</v>
      </c>
      <c r="AA233" s="77">
        <v>5000</v>
      </c>
      <c r="AB233" s="8">
        <f t="shared" si="276"/>
        <v>0</v>
      </c>
      <c r="AC233" s="77">
        <v>5000</v>
      </c>
      <c r="AD233" s="723" t="s">
        <v>262</v>
      </c>
      <c r="AE233" s="724"/>
      <c r="AF233" s="724"/>
      <c r="AG233" s="724"/>
      <c r="AH233" s="725"/>
      <c r="AI233" s="290"/>
      <c r="AJ233" s="291"/>
      <c r="AK233" s="291"/>
    </row>
    <row r="234" spans="1:38" ht="132.75" customHeight="1" x14ac:dyDescent="0.2">
      <c r="A234" s="772">
        <v>3012</v>
      </c>
      <c r="B234" s="773" t="s">
        <v>301</v>
      </c>
      <c r="C234" s="108">
        <v>36000</v>
      </c>
      <c r="D234" s="108">
        <v>50000</v>
      </c>
      <c r="E234" s="108">
        <v>70000</v>
      </c>
      <c r="F234" s="77">
        <v>70000</v>
      </c>
      <c r="G234" s="338">
        <v>90000</v>
      </c>
      <c r="H234" s="77">
        <v>100000</v>
      </c>
      <c r="I234" s="77">
        <v>100000</v>
      </c>
      <c r="J234" s="8">
        <f t="shared" si="267"/>
        <v>0.05</v>
      </c>
      <c r="K234" s="754">
        <v>105000</v>
      </c>
      <c r="L234" s="752">
        <f t="shared" si="268"/>
        <v>0.42857142857142855</v>
      </c>
      <c r="M234" s="754">
        <v>150000</v>
      </c>
      <c r="N234" s="752">
        <f t="shared" si="269"/>
        <v>0</v>
      </c>
      <c r="O234" s="754">
        <v>150000</v>
      </c>
      <c r="P234" s="771">
        <f t="shared" si="270"/>
        <v>-1.7039133333333303E-2</v>
      </c>
      <c r="Q234" s="754">
        <v>147444.13</v>
      </c>
      <c r="R234" s="752">
        <f t="shared" si="271"/>
        <v>8.5156798035974673E-2</v>
      </c>
      <c r="S234" s="754">
        <v>160000</v>
      </c>
      <c r="T234" s="752">
        <f t="shared" si="272"/>
        <v>0</v>
      </c>
      <c r="U234" s="756">
        <v>160000</v>
      </c>
      <c r="V234" s="752">
        <f t="shared" si="273"/>
        <v>0</v>
      </c>
      <c r="W234" s="754">
        <v>160000</v>
      </c>
      <c r="X234" s="752">
        <f t="shared" si="274"/>
        <v>0</v>
      </c>
      <c r="Y234" s="754">
        <v>160000</v>
      </c>
      <c r="Z234" s="752">
        <f t="shared" si="275"/>
        <v>0</v>
      </c>
      <c r="AA234" s="754">
        <v>160000</v>
      </c>
      <c r="AB234" s="752">
        <f t="shared" si="276"/>
        <v>0</v>
      </c>
      <c r="AC234" s="754">
        <v>160000</v>
      </c>
      <c r="AD234" s="1076" t="s">
        <v>487</v>
      </c>
      <c r="AE234" s="1000"/>
      <c r="AF234" s="1000"/>
      <c r="AG234" s="1000"/>
      <c r="AH234" s="1077"/>
      <c r="AI234" s="540"/>
      <c r="AJ234" s="291"/>
      <c r="AK234" s="291"/>
    </row>
    <row r="235" spans="1:38" ht="409.5" customHeight="1" x14ac:dyDescent="0.2">
      <c r="A235" s="753"/>
      <c r="B235" s="774"/>
      <c r="C235" s="108"/>
      <c r="D235" s="108"/>
      <c r="E235" s="108"/>
      <c r="F235" s="77"/>
      <c r="G235" s="338"/>
      <c r="H235" s="77"/>
      <c r="I235" s="77"/>
      <c r="J235" s="8"/>
      <c r="K235" s="753"/>
      <c r="L235" s="753"/>
      <c r="M235" s="753"/>
      <c r="N235" s="753"/>
      <c r="O235" s="753"/>
      <c r="P235" s="753"/>
      <c r="Q235" s="753"/>
      <c r="R235" s="753"/>
      <c r="S235" s="770"/>
      <c r="T235" s="753"/>
      <c r="U235" s="757"/>
      <c r="V235" s="753"/>
      <c r="W235" s="753"/>
      <c r="X235" s="753"/>
      <c r="Y235" s="753"/>
      <c r="Z235" s="753"/>
      <c r="AA235" s="753"/>
      <c r="AB235" s="753"/>
      <c r="AC235" s="753"/>
      <c r="AD235" s="1078"/>
      <c r="AE235" s="664"/>
      <c r="AF235" s="664"/>
      <c r="AG235" s="664"/>
      <c r="AH235" s="665"/>
      <c r="AI235" s="540"/>
      <c r="AJ235" s="291"/>
      <c r="AK235" s="291"/>
    </row>
    <row r="236" spans="1:38" ht="76.5" customHeight="1" x14ac:dyDescent="0.25">
      <c r="A236" s="2">
        <v>3013</v>
      </c>
      <c r="B236" s="3" t="s">
        <v>250</v>
      </c>
      <c r="C236" s="108">
        <v>0</v>
      </c>
      <c r="D236" s="108">
        <v>0</v>
      </c>
      <c r="E236" s="108">
        <v>0</v>
      </c>
      <c r="F236" s="77">
        <v>0</v>
      </c>
      <c r="G236" s="338">
        <v>0</v>
      </c>
      <c r="H236" s="77">
        <v>0</v>
      </c>
      <c r="I236" s="77">
        <v>0</v>
      </c>
      <c r="J236" s="8" t="e">
        <f t="shared" ref="J236" si="285">(K236-I236)/I236</f>
        <v>#DIV/0!</v>
      </c>
      <c r="K236" s="77">
        <v>0</v>
      </c>
      <c r="L236" s="8" t="e">
        <f t="shared" si="268"/>
        <v>#DIV/0!</v>
      </c>
      <c r="M236" s="77">
        <v>0</v>
      </c>
      <c r="N236" s="8" t="e">
        <f t="shared" si="269"/>
        <v>#DIV/0!</v>
      </c>
      <c r="O236" s="77">
        <v>0</v>
      </c>
      <c r="P236" s="163" t="e">
        <f t="shared" si="270"/>
        <v>#DIV/0!</v>
      </c>
      <c r="Q236" s="77">
        <v>0</v>
      </c>
      <c r="R236" s="8" t="e">
        <f t="shared" si="271"/>
        <v>#DIV/0!</v>
      </c>
      <c r="S236" s="77">
        <v>0</v>
      </c>
      <c r="T236" s="8" t="e">
        <f t="shared" si="272"/>
        <v>#DIV/0!</v>
      </c>
      <c r="U236" s="521">
        <v>0</v>
      </c>
      <c r="V236" s="8" t="e">
        <f t="shared" si="273"/>
        <v>#DIV/0!</v>
      </c>
      <c r="W236" s="77">
        <v>0</v>
      </c>
      <c r="X236" s="8" t="e">
        <f t="shared" si="274"/>
        <v>#DIV/0!</v>
      </c>
      <c r="Y236" s="77">
        <v>0</v>
      </c>
      <c r="Z236" s="8" t="e">
        <f t="shared" ref="Z236:Z243" si="286">(AA236-Y236)/Y236</f>
        <v>#DIV/0!</v>
      </c>
      <c r="AA236" s="77">
        <v>0</v>
      </c>
      <c r="AB236" s="8" t="e">
        <f t="shared" ref="AB236:AB243" si="287">(AC236-AA236)/AA236</f>
        <v>#DIV/0!</v>
      </c>
      <c r="AC236" s="77">
        <v>0</v>
      </c>
      <c r="AD236" s="676" t="s">
        <v>263</v>
      </c>
      <c r="AE236" s="706"/>
      <c r="AF236" s="706"/>
      <c r="AG236" s="706"/>
      <c r="AH236" s="707"/>
      <c r="AI236" s="290"/>
      <c r="AJ236" s="291"/>
      <c r="AK236" s="291"/>
    </row>
    <row r="237" spans="1:38" ht="326.25" customHeight="1" x14ac:dyDescent="0.25">
      <c r="A237" s="2">
        <v>3014</v>
      </c>
      <c r="B237" s="3" t="s">
        <v>132</v>
      </c>
      <c r="C237" s="108">
        <v>50000</v>
      </c>
      <c r="D237" s="108">
        <v>50000</v>
      </c>
      <c r="E237" s="108">
        <v>50000</v>
      </c>
      <c r="F237" s="77">
        <v>48836.52</v>
      </c>
      <c r="G237" s="338">
        <v>48092.52</v>
      </c>
      <c r="H237" s="77">
        <v>48092.52</v>
      </c>
      <c r="I237" s="77">
        <v>730</v>
      </c>
      <c r="J237" s="8">
        <f t="shared" si="267"/>
        <v>135.98630136986301</v>
      </c>
      <c r="K237" s="77">
        <v>100000</v>
      </c>
      <c r="L237" s="8">
        <f t="shared" si="268"/>
        <v>2.0999999999999999E-3</v>
      </c>
      <c r="M237" s="77">
        <v>100210</v>
      </c>
      <c r="N237" s="8">
        <f t="shared" si="269"/>
        <v>-6.8444566410537894E-2</v>
      </c>
      <c r="O237" s="77">
        <v>93351.17</v>
      </c>
      <c r="P237" s="163">
        <f t="shared" si="270"/>
        <v>-0.67863284413039493</v>
      </c>
      <c r="Q237" s="77">
        <v>30000</v>
      </c>
      <c r="R237" s="8">
        <f t="shared" si="271"/>
        <v>-6.9538666666666665E-2</v>
      </c>
      <c r="S237" s="77">
        <v>27913.84</v>
      </c>
      <c r="T237" s="8" t="s">
        <v>344</v>
      </c>
      <c r="U237" s="521">
        <v>27913.84</v>
      </c>
      <c r="V237" s="8">
        <f t="shared" si="273"/>
        <v>0</v>
      </c>
      <c r="W237" s="77">
        <v>27913.84</v>
      </c>
      <c r="X237" s="8">
        <f t="shared" si="274"/>
        <v>0</v>
      </c>
      <c r="Y237" s="77">
        <v>27913.84</v>
      </c>
      <c r="Z237" s="8">
        <f t="shared" si="286"/>
        <v>0</v>
      </c>
      <c r="AA237" s="77">
        <v>27913.84</v>
      </c>
      <c r="AB237" s="8">
        <f t="shared" si="287"/>
        <v>0</v>
      </c>
      <c r="AC237" s="77">
        <v>27913.84</v>
      </c>
      <c r="AD237" s="720" t="s">
        <v>421</v>
      </c>
      <c r="AE237" s="846"/>
      <c r="AF237" s="846"/>
      <c r="AG237" s="846"/>
      <c r="AH237" s="847"/>
      <c r="AI237" s="804"/>
      <c r="AJ237" s="812"/>
      <c r="AK237" s="792"/>
      <c r="AL237" s="792"/>
    </row>
    <row r="238" spans="1:38" ht="55.5" customHeight="1" x14ac:dyDescent="0.25">
      <c r="A238" s="4">
        <v>3015</v>
      </c>
      <c r="B238" s="5" t="s">
        <v>144</v>
      </c>
      <c r="C238" s="76">
        <v>5500</v>
      </c>
      <c r="D238" s="108">
        <v>3000</v>
      </c>
      <c r="E238" s="108">
        <v>3500</v>
      </c>
      <c r="F238" s="77">
        <v>4000</v>
      </c>
      <c r="G238" s="338">
        <v>4500</v>
      </c>
      <c r="H238" s="77">
        <v>4500</v>
      </c>
      <c r="I238" s="77">
        <v>4500</v>
      </c>
      <c r="J238" s="8">
        <f t="shared" si="267"/>
        <v>0.1111111111111111</v>
      </c>
      <c r="K238" s="77">
        <v>5000</v>
      </c>
      <c r="L238" s="8">
        <f t="shared" si="268"/>
        <v>0</v>
      </c>
      <c r="M238" s="77">
        <v>5000</v>
      </c>
      <c r="N238" s="8">
        <f t="shared" si="269"/>
        <v>0</v>
      </c>
      <c r="O238" s="77">
        <v>5000</v>
      </c>
      <c r="P238" s="163">
        <f t="shared" si="270"/>
        <v>0</v>
      </c>
      <c r="Q238" s="77">
        <v>5000</v>
      </c>
      <c r="R238" s="8">
        <f t="shared" si="271"/>
        <v>-1</v>
      </c>
      <c r="S238" s="77">
        <v>0</v>
      </c>
      <c r="T238" s="8" t="e">
        <f t="shared" si="272"/>
        <v>#DIV/0!</v>
      </c>
      <c r="U238" s="521">
        <v>0</v>
      </c>
      <c r="V238" s="8" t="e">
        <f t="shared" si="273"/>
        <v>#DIV/0!</v>
      </c>
      <c r="W238" s="77">
        <v>0</v>
      </c>
      <c r="X238" s="8" t="e">
        <f t="shared" si="274"/>
        <v>#DIV/0!</v>
      </c>
      <c r="Y238" s="77">
        <v>0</v>
      </c>
      <c r="Z238" s="8" t="e">
        <f t="shared" si="286"/>
        <v>#DIV/0!</v>
      </c>
      <c r="AA238" s="77">
        <v>0</v>
      </c>
      <c r="AB238" s="8" t="e">
        <f t="shared" si="287"/>
        <v>#DIV/0!</v>
      </c>
      <c r="AC238" s="77">
        <v>0</v>
      </c>
      <c r="AD238" s="723" t="s">
        <v>345</v>
      </c>
      <c r="AE238" s="724"/>
      <c r="AF238" s="724"/>
      <c r="AG238" s="724"/>
      <c r="AH238" s="725"/>
      <c r="AI238" s="290"/>
      <c r="AJ238" s="291"/>
      <c r="AK238" s="291"/>
    </row>
    <row r="239" spans="1:38" ht="409.6" customHeight="1" x14ac:dyDescent="0.25">
      <c r="A239" s="2">
        <v>3016</v>
      </c>
      <c r="B239" s="3" t="s">
        <v>220</v>
      </c>
      <c r="C239" s="76">
        <v>70000</v>
      </c>
      <c r="D239" s="108">
        <v>75000</v>
      </c>
      <c r="E239" s="108">
        <v>80000</v>
      </c>
      <c r="F239" s="77">
        <v>85000</v>
      </c>
      <c r="G239" s="338">
        <v>105000</v>
      </c>
      <c r="H239" s="77">
        <v>107000</v>
      </c>
      <c r="I239" s="77">
        <v>107000</v>
      </c>
      <c r="J239" s="8">
        <f t="shared" si="267"/>
        <v>0.64485981308411211</v>
      </c>
      <c r="K239" s="77">
        <v>176000</v>
      </c>
      <c r="L239" s="8">
        <f t="shared" si="268"/>
        <v>5.6818181818181816E-2</v>
      </c>
      <c r="M239" s="77">
        <v>186000</v>
      </c>
      <c r="N239" s="8">
        <f t="shared" si="269"/>
        <v>-0.34426881720430108</v>
      </c>
      <c r="O239" s="77">
        <v>121966</v>
      </c>
      <c r="P239" s="163">
        <f t="shared" si="270"/>
        <v>1.6676778774412541E-2</v>
      </c>
      <c r="Q239" s="77">
        <v>124000</v>
      </c>
      <c r="R239" s="8">
        <f t="shared" si="271"/>
        <v>0.29032258064516131</v>
      </c>
      <c r="S239" s="77">
        <v>160000</v>
      </c>
      <c r="T239" s="8">
        <f t="shared" si="272"/>
        <v>-0.15585187499999992</v>
      </c>
      <c r="U239" s="641">
        <v>135063.70000000001</v>
      </c>
      <c r="V239" s="8">
        <f t="shared" si="273"/>
        <v>0</v>
      </c>
      <c r="W239" s="77">
        <v>135063.70000000001</v>
      </c>
      <c r="X239" s="8">
        <f t="shared" si="274"/>
        <v>0</v>
      </c>
      <c r="Y239" s="77">
        <v>135063.70000000001</v>
      </c>
      <c r="Z239" s="8">
        <f t="shared" si="286"/>
        <v>0</v>
      </c>
      <c r="AA239" s="77">
        <v>135063.70000000001</v>
      </c>
      <c r="AB239" s="8">
        <f t="shared" si="287"/>
        <v>0</v>
      </c>
      <c r="AC239" s="77">
        <v>135063.70000000001</v>
      </c>
      <c r="AD239" s="864" t="s">
        <v>523</v>
      </c>
      <c r="AE239" s="873"/>
      <c r="AF239" s="873"/>
      <c r="AG239" s="873"/>
      <c r="AH239" s="874"/>
      <c r="AI239" s="810"/>
      <c r="AJ239" s="811"/>
      <c r="AK239" s="780"/>
      <c r="AL239" s="780"/>
    </row>
    <row r="240" spans="1:38" ht="66" customHeight="1" x14ac:dyDescent="0.25">
      <c r="A240" s="69">
        <v>3017</v>
      </c>
      <c r="B240" s="120" t="s">
        <v>38</v>
      </c>
      <c r="C240" s="76">
        <v>8236.1299999999992</v>
      </c>
      <c r="D240" s="108">
        <v>6236.13</v>
      </c>
      <c r="E240" s="108">
        <v>5236.13</v>
      </c>
      <c r="F240" s="108">
        <v>5236.13</v>
      </c>
      <c r="G240" s="338">
        <v>4236.13</v>
      </c>
      <c r="H240" s="108">
        <v>4236.13</v>
      </c>
      <c r="I240" s="108">
        <v>3236.13</v>
      </c>
      <c r="J240" s="8">
        <f>(K240-I240)/I240</f>
        <v>-0.30901107186670496</v>
      </c>
      <c r="K240" s="108">
        <v>2236.13</v>
      </c>
      <c r="L240" s="8">
        <f>(M240-K240)/K240</f>
        <v>-0.22360059567198687</v>
      </c>
      <c r="M240" s="108">
        <v>1736.13</v>
      </c>
      <c r="N240" s="8">
        <f>(O240-M240)/M240</f>
        <v>-0.28799686659409146</v>
      </c>
      <c r="O240" s="108">
        <v>1236.1300000000001</v>
      </c>
      <c r="P240" s="8">
        <f>(Q240-O240)/O240</f>
        <v>-0.4044882010791746</v>
      </c>
      <c r="Q240" s="108">
        <v>736.13</v>
      </c>
      <c r="R240" s="8">
        <f>(S240-Q240)/Q240</f>
        <v>-0.67922785377582762</v>
      </c>
      <c r="S240" s="108">
        <v>236.13</v>
      </c>
      <c r="T240" s="8">
        <f>(U240-S240)/S240</f>
        <v>0</v>
      </c>
      <c r="U240" s="547">
        <v>236.13</v>
      </c>
      <c r="V240" s="8">
        <f>(W240-U240)/U240</f>
        <v>0</v>
      </c>
      <c r="W240" s="108">
        <v>236.13</v>
      </c>
      <c r="X240" s="8">
        <f>(Y240-W240)/W240</f>
        <v>0</v>
      </c>
      <c r="Y240" s="108">
        <v>236.13</v>
      </c>
      <c r="Z240" s="8">
        <f t="shared" si="286"/>
        <v>0</v>
      </c>
      <c r="AA240" s="108">
        <v>236.13</v>
      </c>
      <c r="AB240" s="8">
        <f t="shared" si="287"/>
        <v>0</v>
      </c>
      <c r="AC240" s="108">
        <v>236.13</v>
      </c>
      <c r="AD240" s="885" t="s">
        <v>422</v>
      </c>
      <c r="AE240" s="856"/>
      <c r="AF240" s="856"/>
      <c r="AG240" s="856"/>
      <c r="AH240" s="857"/>
      <c r="AI240" s="136"/>
      <c r="AJ240" s="21"/>
    </row>
    <row r="241" spans="1:38" ht="40.9" customHeight="1" x14ac:dyDescent="0.25">
      <c r="A241" s="69">
        <v>3018</v>
      </c>
      <c r="B241" s="120" t="s">
        <v>4</v>
      </c>
      <c r="C241" s="76">
        <v>2500</v>
      </c>
      <c r="D241" s="108">
        <v>2500</v>
      </c>
      <c r="E241" s="108">
        <v>2500</v>
      </c>
      <c r="F241" s="77">
        <v>2500</v>
      </c>
      <c r="G241" s="338">
        <v>2500</v>
      </c>
      <c r="H241" s="77">
        <v>2500</v>
      </c>
      <c r="I241" s="77">
        <v>2500</v>
      </c>
      <c r="J241" s="8">
        <f>(K241-I241)/I241</f>
        <v>0</v>
      </c>
      <c r="K241" s="77">
        <v>2500</v>
      </c>
      <c r="L241" s="8">
        <f>(M241-K241)/K241</f>
        <v>0</v>
      </c>
      <c r="M241" s="77">
        <v>2500</v>
      </c>
      <c r="N241" s="8">
        <f>(O241-M241)/M241</f>
        <v>0</v>
      </c>
      <c r="O241" s="77">
        <v>2500</v>
      </c>
      <c r="P241" s="8">
        <f>(Q241-O241)/O241</f>
        <v>0</v>
      </c>
      <c r="Q241" s="77">
        <v>2500</v>
      </c>
      <c r="R241" s="8">
        <f t="shared" si="271"/>
        <v>0</v>
      </c>
      <c r="S241" s="77">
        <v>2500</v>
      </c>
      <c r="T241" s="8">
        <f t="shared" si="272"/>
        <v>-0.1244</v>
      </c>
      <c r="U241" s="521">
        <v>2189</v>
      </c>
      <c r="V241" s="8">
        <f t="shared" si="273"/>
        <v>0</v>
      </c>
      <c r="W241" s="77">
        <v>2189</v>
      </c>
      <c r="X241" s="8">
        <f t="shared" si="274"/>
        <v>0</v>
      </c>
      <c r="Y241" s="77">
        <v>2189</v>
      </c>
      <c r="Z241" s="8">
        <f t="shared" si="286"/>
        <v>0</v>
      </c>
      <c r="AA241" s="77">
        <v>2189</v>
      </c>
      <c r="AB241" s="8">
        <f t="shared" si="287"/>
        <v>0</v>
      </c>
      <c r="AC241" s="77">
        <v>2189</v>
      </c>
      <c r="AD241" s="880" t="s">
        <v>452</v>
      </c>
      <c r="AE241" s="881"/>
      <c r="AF241" s="881"/>
      <c r="AG241" s="881"/>
      <c r="AH241" s="882"/>
    </row>
    <row r="242" spans="1:38" ht="312" customHeight="1" x14ac:dyDescent="0.25">
      <c r="A242" s="69">
        <v>3019</v>
      </c>
      <c r="B242" s="120" t="s">
        <v>329</v>
      </c>
      <c r="C242" s="76"/>
      <c r="D242" s="108">
        <v>0</v>
      </c>
      <c r="E242" s="108">
        <v>7000</v>
      </c>
      <c r="F242" s="77">
        <v>9000</v>
      </c>
      <c r="G242" s="338">
        <v>14000</v>
      </c>
      <c r="H242" s="77">
        <v>16000</v>
      </c>
      <c r="I242" s="77">
        <v>16000</v>
      </c>
      <c r="J242" s="8">
        <f>(K242-I242)/I242</f>
        <v>0.125</v>
      </c>
      <c r="K242" s="77">
        <v>18000</v>
      </c>
      <c r="L242" s="8">
        <f>(M242-K242)/K242</f>
        <v>0</v>
      </c>
      <c r="M242" s="77">
        <v>18000</v>
      </c>
      <c r="N242" s="8">
        <f>(O242-M242)/M242</f>
        <v>0</v>
      </c>
      <c r="O242" s="77">
        <v>18000</v>
      </c>
      <c r="P242" s="8">
        <f>(Q242-O242)/O242</f>
        <v>-0.18333333333333332</v>
      </c>
      <c r="Q242" s="77">
        <v>14700</v>
      </c>
      <c r="R242" s="8">
        <f t="shared" si="271"/>
        <v>0.22448979591836735</v>
      </c>
      <c r="S242" s="77">
        <v>18000</v>
      </c>
      <c r="T242" s="8">
        <f>(U242-S242)/S242</f>
        <v>0</v>
      </c>
      <c r="U242" s="521">
        <v>18000</v>
      </c>
      <c r="V242" s="8">
        <f t="shared" ref="V242:V243" si="288">(W242-U242)/U242</f>
        <v>0</v>
      </c>
      <c r="W242" s="77">
        <v>18000</v>
      </c>
      <c r="X242" s="8">
        <f t="shared" ref="X242:X243" si="289">(Y242-W242)/W242</f>
        <v>0</v>
      </c>
      <c r="Y242" s="77">
        <v>18000</v>
      </c>
      <c r="Z242" s="8">
        <f t="shared" si="286"/>
        <v>0</v>
      </c>
      <c r="AA242" s="77">
        <v>18000</v>
      </c>
      <c r="AB242" s="8">
        <f t="shared" si="287"/>
        <v>0</v>
      </c>
      <c r="AC242" s="77">
        <v>18000</v>
      </c>
      <c r="AD242" s="726" t="s">
        <v>429</v>
      </c>
      <c r="AE242" s="883"/>
      <c r="AF242" s="883"/>
      <c r="AG242" s="883"/>
      <c r="AH242" s="884"/>
      <c r="AI242" s="813"/>
      <c r="AJ242" s="814"/>
      <c r="AK242" s="815"/>
      <c r="AL242" s="815"/>
    </row>
    <row r="243" spans="1:38" ht="64.5" customHeight="1" x14ac:dyDescent="0.25">
      <c r="A243" s="69">
        <v>3020</v>
      </c>
      <c r="B243" s="329" t="s">
        <v>254</v>
      </c>
      <c r="C243" s="76"/>
      <c r="D243" s="108"/>
      <c r="E243" s="108">
        <v>0</v>
      </c>
      <c r="F243" s="77">
        <v>3000</v>
      </c>
      <c r="G243" s="338">
        <v>6000</v>
      </c>
      <c r="H243" s="77">
        <v>6000</v>
      </c>
      <c r="I243" s="77">
        <v>6000</v>
      </c>
      <c r="J243" s="8">
        <f>(K243-I243)/I243</f>
        <v>8.3333333333333329E-2</v>
      </c>
      <c r="K243" s="77">
        <v>6500</v>
      </c>
      <c r="L243" s="8">
        <f>(M243-K243)/K243</f>
        <v>0</v>
      </c>
      <c r="M243" s="77">
        <v>6500</v>
      </c>
      <c r="N243" s="8">
        <f>(O243-M243)/M243</f>
        <v>0</v>
      </c>
      <c r="O243" s="77">
        <v>6500</v>
      </c>
      <c r="P243" s="8">
        <f>(Q243-O243)/O243</f>
        <v>0</v>
      </c>
      <c r="Q243" s="77">
        <v>6500</v>
      </c>
      <c r="R243" s="8">
        <f t="shared" si="271"/>
        <v>0</v>
      </c>
      <c r="S243" s="77">
        <v>6500</v>
      </c>
      <c r="T243" s="8">
        <f t="shared" si="272"/>
        <v>0</v>
      </c>
      <c r="U243" s="521">
        <v>6500</v>
      </c>
      <c r="V243" s="8">
        <f t="shared" si="288"/>
        <v>0</v>
      </c>
      <c r="W243" s="77">
        <v>6500</v>
      </c>
      <c r="X243" s="8">
        <f t="shared" si="289"/>
        <v>0</v>
      </c>
      <c r="Y243" s="77">
        <v>6500</v>
      </c>
      <c r="Z243" s="8">
        <f t="shared" si="286"/>
        <v>0</v>
      </c>
      <c r="AA243" s="77">
        <v>6500</v>
      </c>
      <c r="AB243" s="8">
        <f t="shared" si="287"/>
        <v>0</v>
      </c>
      <c r="AC243" s="77">
        <v>6500</v>
      </c>
      <c r="AD243" s="877" t="s">
        <v>276</v>
      </c>
      <c r="AE243" s="878"/>
      <c r="AF243" s="878"/>
      <c r="AG243" s="878"/>
      <c r="AH243" s="879"/>
      <c r="AI243" s="290"/>
      <c r="AJ243" s="291"/>
      <c r="AK243" s="291"/>
    </row>
    <row r="244" spans="1:38" s="17" customFormat="1" ht="32.450000000000003" customHeight="1" x14ac:dyDescent="0.25">
      <c r="A244" s="69">
        <v>3021</v>
      </c>
      <c r="B244" s="120" t="s">
        <v>153</v>
      </c>
      <c r="C244" s="76">
        <v>0</v>
      </c>
      <c r="D244" s="108">
        <v>0</v>
      </c>
      <c r="E244" s="108">
        <v>0</v>
      </c>
      <c r="F244" s="108">
        <v>0</v>
      </c>
      <c r="G244" s="338">
        <v>0</v>
      </c>
      <c r="H244" s="77">
        <v>0</v>
      </c>
      <c r="I244" s="77">
        <v>0</v>
      </c>
      <c r="J244" s="8"/>
      <c r="K244" s="77">
        <v>0</v>
      </c>
      <c r="L244" s="8"/>
      <c r="M244" s="77">
        <v>0</v>
      </c>
      <c r="N244" s="8"/>
      <c r="O244" s="77">
        <v>0</v>
      </c>
      <c r="P244" s="8"/>
      <c r="Q244" s="77">
        <v>0</v>
      </c>
      <c r="R244" s="8"/>
      <c r="S244" s="77">
        <v>0</v>
      </c>
      <c r="T244" s="8"/>
      <c r="U244" s="521">
        <v>0</v>
      </c>
      <c r="V244" s="8"/>
      <c r="W244" s="77">
        <v>0</v>
      </c>
      <c r="X244" s="8"/>
      <c r="Y244" s="77">
        <v>0</v>
      </c>
      <c r="Z244" s="8"/>
      <c r="AA244" s="77">
        <v>0</v>
      </c>
      <c r="AB244" s="8"/>
      <c r="AC244" s="77">
        <v>0</v>
      </c>
      <c r="AD244" s="867" t="s">
        <v>129</v>
      </c>
      <c r="AE244" s="868"/>
      <c r="AF244" s="868"/>
      <c r="AG244" s="868"/>
      <c r="AH244" s="869"/>
      <c r="AI244" s="290"/>
      <c r="AJ244" s="291"/>
      <c r="AK244" s="291"/>
    </row>
    <row r="245" spans="1:38" s="17" customFormat="1" ht="288.75" customHeight="1" x14ac:dyDescent="0.25">
      <c r="A245" s="121">
        <v>3022</v>
      </c>
      <c r="B245" s="120" t="s">
        <v>253</v>
      </c>
      <c r="C245" s="76">
        <v>2000</v>
      </c>
      <c r="D245" s="108">
        <v>2000</v>
      </c>
      <c r="E245" s="108">
        <v>0</v>
      </c>
      <c r="F245" s="108">
        <v>0</v>
      </c>
      <c r="G245" s="338">
        <v>12945.88</v>
      </c>
      <c r="H245" s="77">
        <v>6240</v>
      </c>
      <c r="I245" s="77">
        <v>6240</v>
      </c>
      <c r="J245" s="8">
        <f>(K245-H245)/H245</f>
        <v>-0.19871794871794871</v>
      </c>
      <c r="K245" s="77">
        <v>5000</v>
      </c>
      <c r="L245" s="8">
        <f>(M245-K245)/K245</f>
        <v>4.2</v>
      </c>
      <c r="M245" s="77">
        <v>26000</v>
      </c>
      <c r="N245" s="8">
        <f>(O245-M245)/M245</f>
        <v>0</v>
      </c>
      <c r="O245" s="77">
        <v>26000</v>
      </c>
      <c r="P245" s="8">
        <f>(Q245-O245)/O245</f>
        <v>0</v>
      </c>
      <c r="Q245" s="77">
        <v>26000</v>
      </c>
      <c r="R245" s="8">
        <f>(S245-Q245)/Q245</f>
        <v>0</v>
      </c>
      <c r="S245" s="77">
        <v>26000</v>
      </c>
      <c r="T245" s="8">
        <f>(U245-S245)/S245</f>
        <v>-0.12403846153846154</v>
      </c>
      <c r="U245" s="521">
        <v>22775</v>
      </c>
      <c r="V245" s="8">
        <f>(W245-U245)/U245</f>
        <v>0</v>
      </c>
      <c r="W245" s="77">
        <v>22775</v>
      </c>
      <c r="X245" s="8">
        <f>(Y245-W245)/W245</f>
        <v>0</v>
      </c>
      <c r="Y245" s="77">
        <v>22775</v>
      </c>
      <c r="Z245" s="8">
        <f t="shared" ref="Z245:Z253" si="290">(AA245-Y245)/Y245</f>
        <v>0</v>
      </c>
      <c r="AA245" s="77">
        <v>22775</v>
      </c>
      <c r="AB245" s="8">
        <f t="shared" ref="AB245:AB253" si="291">(AC245-AA245)/AA245</f>
        <v>0</v>
      </c>
      <c r="AC245" s="77">
        <v>22775</v>
      </c>
      <c r="AD245" s="726" t="s">
        <v>456</v>
      </c>
      <c r="AE245" s="875"/>
      <c r="AF245" s="875"/>
      <c r="AG245" s="875"/>
      <c r="AH245" s="876"/>
      <c r="AI245" s="809"/>
      <c r="AJ245" s="812"/>
      <c r="AK245" s="792"/>
      <c r="AL245" s="792"/>
    </row>
    <row r="246" spans="1:38" s="17" customFormat="1" ht="195.75" customHeight="1" x14ac:dyDescent="0.25">
      <c r="A246" s="69">
        <v>3023</v>
      </c>
      <c r="B246" s="120" t="s">
        <v>192</v>
      </c>
      <c r="C246" s="108">
        <v>10000</v>
      </c>
      <c r="D246" s="108">
        <v>2000</v>
      </c>
      <c r="E246" s="108">
        <v>7000</v>
      </c>
      <c r="F246" s="77">
        <v>20000</v>
      </c>
      <c r="G246" s="338">
        <v>25000</v>
      </c>
      <c r="H246" s="108">
        <v>12000</v>
      </c>
      <c r="I246" s="108">
        <v>13000</v>
      </c>
      <c r="J246" s="8">
        <f>(K246-I246)/I246</f>
        <v>0</v>
      </c>
      <c r="K246" s="108">
        <v>13000</v>
      </c>
      <c r="L246" s="8">
        <f>(M246-K246)/K246</f>
        <v>0.92307692307692313</v>
      </c>
      <c r="M246" s="108">
        <v>25000</v>
      </c>
      <c r="N246" s="8">
        <f>(O246-M246)/M246</f>
        <v>-0.51411839999999998</v>
      </c>
      <c r="O246" s="108">
        <v>12147.04</v>
      </c>
      <c r="P246" s="8">
        <f>(Q246-O246)/O246</f>
        <v>2.4368076502581095E-4</v>
      </c>
      <c r="Q246" s="108">
        <v>12150</v>
      </c>
      <c r="R246" s="8">
        <f t="shared" ref="R246:R258" si="292">(S246-Q246)/Q246</f>
        <v>0</v>
      </c>
      <c r="S246" s="108">
        <v>12150</v>
      </c>
      <c r="T246" s="8">
        <f t="shared" ref="T246:T258" si="293">(U246-S246)/S246</f>
        <v>0</v>
      </c>
      <c r="U246" s="547">
        <v>12150</v>
      </c>
      <c r="V246" s="8">
        <f t="shared" ref="V246:V250" si="294">(W246-U246)/U246</f>
        <v>0</v>
      </c>
      <c r="W246" s="108">
        <v>12150</v>
      </c>
      <c r="X246" s="8">
        <f t="shared" ref="X246:X250" si="295">(Y246-W246)/W246</f>
        <v>0</v>
      </c>
      <c r="Y246" s="108">
        <v>12150</v>
      </c>
      <c r="Z246" s="8">
        <f t="shared" si="290"/>
        <v>0</v>
      </c>
      <c r="AA246" s="108">
        <v>12150</v>
      </c>
      <c r="AB246" s="8">
        <f t="shared" si="291"/>
        <v>0</v>
      </c>
      <c r="AC246" s="108">
        <v>12150</v>
      </c>
      <c r="AD246" s="870" t="s">
        <v>354</v>
      </c>
      <c r="AE246" s="871"/>
      <c r="AF246" s="871"/>
      <c r="AG246" s="871"/>
      <c r="AH246" s="872"/>
      <c r="AI246" s="290"/>
      <c r="AJ246" s="291"/>
      <c r="AK246" s="291"/>
    </row>
    <row r="247" spans="1:38" s="17" customFormat="1" ht="39" customHeight="1" x14ac:dyDescent="0.25">
      <c r="A247" s="69">
        <v>3024</v>
      </c>
      <c r="B247" s="120" t="s">
        <v>242</v>
      </c>
      <c r="C247" s="108"/>
      <c r="D247" s="108"/>
      <c r="E247" s="108">
        <v>0</v>
      </c>
      <c r="F247" s="77">
        <v>0</v>
      </c>
      <c r="G247" s="338">
        <v>0</v>
      </c>
      <c r="H247" s="77">
        <v>0</v>
      </c>
      <c r="I247" s="77">
        <v>0</v>
      </c>
      <c r="J247" s="8" t="e">
        <f>(K247-I247)/I247</f>
        <v>#DIV/0!</v>
      </c>
      <c r="K247" s="77">
        <v>0</v>
      </c>
      <c r="L247" s="8" t="e">
        <f>(M247-K247)/K247</f>
        <v>#DIV/0!</v>
      </c>
      <c r="M247" s="77">
        <v>0</v>
      </c>
      <c r="N247" s="8" t="e">
        <f>(O247-M247)/M247</f>
        <v>#DIV/0!</v>
      </c>
      <c r="O247" s="77">
        <v>0</v>
      </c>
      <c r="P247" s="8" t="e">
        <f>(Q247-O247)/O247</f>
        <v>#DIV/0!</v>
      </c>
      <c r="Q247" s="77">
        <v>0</v>
      </c>
      <c r="R247" s="8" t="e">
        <f t="shared" si="292"/>
        <v>#DIV/0!</v>
      </c>
      <c r="S247" s="77">
        <v>0</v>
      </c>
      <c r="T247" s="8" t="e">
        <f t="shared" si="293"/>
        <v>#DIV/0!</v>
      </c>
      <c r="U247" s="521">
        <v>0</v>
      </c>
      <c r="V247" s="8" t="e">
        <f t="shared" si="294"/>
        <v>#DIV/0!</v>
      </c>
      <c r="W247" s="77">
        <v>0</v>
      </c>
      <c r="X247" s="8" t="e">
        <f t="shared" si="295"/>
        <v>#DIV/0!</v>
      </c>
      <c r="Y247" s="77">
        <v>0</v>
      </c>
      <c r="Z247" s="8" t="e">
        <f t="shared" si="290"/>
        <v>#DIV/0!</v>
      </c>
      <c r="AA247" s="77">
        <v>0</v>
      </c>
      <c r="AB247" s="8" t="e">
        <f t="shared" si="291"/>
        <v>#DIV/0!</v>
      </c>
      <c r="AC247" s="77">
        <v>0</v>
      </c>
      <c r="AD247" s="864" t="s">
        <v>264</v>
      </c>
      <c r="AE247" s="865"/>
      <c r="AF247" s="865"/>
      <c r="AG247" s="865"/>
      <c r="AH247" s="866"/>
      <c r="AI247" s="136"/>
      <c r="AJ247" s="21"/>
      <c r="AK247"/>
    </row>
    <row r="248" spans="1:38" ht="30" customHeight="1" x14ac:dyDescent="0.25">
      <c r="A248" s="69">
        <v>3040</v>
      </c>
      <c r="B248" s="120" t="s">
        <v>154</v>
      </c>
      <c r="C248" s="76">
        <v>0</v>
      </c>
      <c r="D248" s="108">
        <v>0</v>
      </c>
      <c r="E248" s="108">
        <v>0</v>
      </c>
      <c r="F248" s="77">
        <v>0</v>
      </c>
      <c r="G248" s="338">
        <v>0</v>
      </c>
      <c r="H248" s="77">
        <v>0</v>
      </c>
      <c r="I248" s="77">
        <v>0</v>
      </c>
      <c r="J248" s="8" t="e">
        <f>(K248-I248)/I248</f>
        <v>#DIV/0!</v>
      </c>
      <c r="K248" s="77">
        <v>0</v>
      </c>
      <c r="L248" s="8" t="e">
        <f>(M248-K248)/K248</f>
        <v>#DIV/0!</v>
      </c>
      <c r="M248" s="77">
        <v>0</v>
      </c>
      <c r="N248" s="8" t="e">
        <f>(O248-M248)/M248</f>
        <v>#DIV/0!</v>
      </c>
      <c r="O248" s="77">
        <v>0</v>
      </c>
      <c r="P248" s="8" t="e">
        <f>(Q248-O248)/O248</f>
        <v>#DIV/0!</v>
      </c>
      <c r="Q248" s="77">
        <v>0</v>
      </c>
      <c r="R248" s="8" t="e">
        <f t="shared" si="292"/>
        <v>#DIV/0!</v>
      </c>
      <c r="S248" s="77">
        <v>0</v>
      </c>
      <c r="T248" s="8" t="e">
        <f t="shared" si="293"/>
        <v>#DIV/0!</v>
      </c>
      <c r="U248" s="521">
        <v>0</v>
      </c>
      <c r="V248" s="8" t="e">
        <f t="shared" si="294"/>
        <v>#DIV/0!</v>
      </c>
      <c r="W248" s="77">
        <v>0</v>
      </c>
      <c r="X248" s="8" t="e">
        <f t="shared" si="295"/>
        <v>#DIV/0!</v>
      </c>
      <c r="Y248" s="77">
        <v>0</v>
      </c>
      <c r="Z248" s="8" t="e">
        <f t="shared" si="290"/>
        <v>#DIV/0!</v>
      </c>
      <c r="AA248" s="77">
        <v>0</v>
      </c>
      <c r="AB248" s="8" t="e">
        <f t="shared" si="291"/>
        <v>#DIV/0!</v>
      </c>
      <c r="AC248" s="77">
        <v>0</v>
      </c>
      <c r="AD248" s="824"/>
      <c r="AE248" s="825"/>
      <c r="AF248" s="825"/>
      <c r="AG248" s="825"/>
      <c r="AH248" s="826"/>
      <c r="AI248" s="136"/>
      <c r="AJ248" s="21"/>
    </row>
    <row r="249" spans="1:38" ht="54" customHeight="1" x14ac:dyDescent="0.25">
      <c r="A249" s="69">
        <v>3064</v>
      </c>
      <c r="B249" s="70" t="s">
        <v>35</v>
      </c>
      <c r="C249" s="76">
        <v>0</v>
      </c>
      <c r="D249" s="108">
        <v>0</v>
      </c>
      <c r="E249" s="108">
        <v>0</v>
      </c>
      <c r="F249" s="77">
        <v>0</v>
      </c>
      <c r="G249" s="338">
        <v>0</v>
      </c>
      <c r="H249" s="77">
        <v>0</v>
      </c>
      <c r="I249" s="77">
        <v>0</v>
      </c>
      <c r="J249" s="8" t="e">
        <f>(K249-I249)/I249</f>
        <v>#DIV/0!</v>
      </c>
      <c r="K249" s="77">
        <v>0</v>
      </c>
      <c r="L249" s="8" t="e">
        <f>(M249-K249)/K249</f>
        <v>#DIV/0!</v>
      </c>
      <c r="M249" s="77">
        <v>0</v>
      </c>
      <c r="N249" s="8" t="e">
        <f>(O249-M249)/M249</f>
        <v>#DIV/0!</v>
      </c>
      <c r="O249" s="77">
        <v>0</v>
      </c>
      <c r="P249" s="8" t="e">
        <f>(Q249-O249)/O249</f>
        <v>#DIV/0!</v>
      </c>
      <c r="Q249" s="77">
        <v>0</v>
      </c>
      <c r="R249" s="8" t="e">
        <f t="shared" si="292"/>
        <v>#DIV/0!</v>
      </c>
      <c r="S249" s="77">
        <v>1000</v>
      </c>
      <c r="T249" s="8">
        <f t="shared" si="293"/>
        <v>-0.79100000000000004</v>
      </c>
      <c r="U249" s="630">
        <v>209</v>
      </c>
      <c r="V249" s="8">
        <f t="shared" si="294"/>
        <v>0</v>
      </c>
      <c r="W249" s="77">
        <v>209</v>
      </c>
      <c r="X249" s="8">
        <f t="shared" si="295"/>
        <v>0</v>
      </c>
      <c r="Y249" s="77">
        <v>209</v>
      </c>
      <c r="Z249" s="8">
        <f t="shared" si="290"/>
        <v>0</v>
      </c>
      <c r="AA249" s="77">
        <v>209</v>
      </c>
      <c r="AB249" s="8">
        <f t="shared" si="291"/>
        <v>0</v>
      </c>
      <c r="AC249" s="77">
        <v>209</v>
      </c>
      <c r="AD249" s="864" t="s">
        <v>522</v>
      </c>
      <c r="AE249" s="873"/>
      <c r="AF249" s="873"/>
      <c r="AG249" s="873"/>
      <c r="AH249" s="874"/>
    </row>
    <row r="250" spans="1:38" ht="24" customHeight="1" x14ac:dyDescent="0.25">
      <c r="A250" s="69">
        <v>3065</v>
      </c>
      <c r="B250" s="70" t="s">
        <v>213</v>
      </c>
      <c r="C250" s="76">
        <v>0</v>
      </c>
      <c r="D250" s="108">
        <v>0</v>
      </c>
      <c r="E250" s="108">
        <v>0</v>
      </c>
      <c r="F250" s="77">
        <v>0</v>
      </c>
      <c r="G250" s="338">
        <v>0</v>
      </c>
      <c r="H250" s="77">
        <v>0</v>
      </c>
      <c r="I250" s="77">
        <v>0</v>
      </c>
      <c r="J250" s="8" t="e">
        <f t="shared" ref="J250" si="296">(K250-I250)/I250</f>
        <v>#DIV/0!</v>
      </c>
      <c r="K250" s="77">
        <v>0</v>
      </c>
      <c r="L250" s="8" t="e">
        <f t="shared" ref="L250" si="297">(M250-K250)/K250</f>
        <v>#DIV/0!</v>
      </c>
      <c r="M250" s="77">
        <v>0</v>
      </c>
      <c r="N250" s="8" t="e">
        <f t="shared" ref="N250" si="298">(O250-M250)/M250</f>
        <v>#DIV/0!</v>
      </c>
      <c r="O250" s="77">
        <v>0</v>
      </c>
      <c r="P250" s="8" t="e">
        <f t="shared" ref="P250" si="299">(Q250-O250)/O250</f>
        <v>#DIV/0!</v>
      </c>
      <c r="Q250" s="77">
        <v>0</v>
      </c>
      <c r="R250" s="8" t="e">
        <f t="shared" si="292"/>
        <v>#DIV/0!</v>
      </c>
      <c r="S250" s="77">
        <v>0</v>
      </c>
      <c r="T250" s="8" t="e">
        <f t="shared" si="293"/>
        <v>#DIV/0!</v>
      </c>
      <c r="U250" s="521">
        <v>0</v>
      </c>
      <c r="V250" s="8" t="e">
        <f t="shared" si="294"/>
        <v>#DIV/0!</v>
      </c>
      <c r="W250" s="77">
        <v>0</v>
      </c>
      <c r="X250" s="8" t="e">
        <f t="shared" si="295"/>
        <v>#DIV/0!</v>
      </c>
      <c r="Y250" s="77">
        <v>0</v>
      </c>
      <c r="Z250" s="8" t="e">
        <f t="shared" si="290"/>
        <v>#DIV/0!</v>
      </c>
      <c r="AA250" s="77">
        <v>0</v>
      </c>
      <c r="AB250" s="8" t="e">
        <f t="shared" si="291"/>
        <v>#DIV/0!</v>
      </c>
      <c r="AC250" s="77">
        <v>0</v>
      </c>
      <c r="AD250" s="824"/>
      <c r="AE250" s="825"/>
      <c r="AF250" s="825"/>
      <c r="AG250" s="825"/>
      <c r="AH250" s="826"/>
    </row>
    <row r="251" spans="1:38" ht="409.5" customHeight="1" x14ac:dyDescent="0.25">
      <c r="A251" s="69">
        <v>3070</v>
      </c>
      <c r="B251" s="70" t="s">
        <v>11</v>
      </c>
      <c r="C251" s="76">
        <v>0</v>
      </c>
      <c r="D251" s="108">
        <v>0</v>
      </c>
      <c r="E251" s="108">
        <v>0</v>
      </c>
      <c r="F251" s="77">
        <v>0</v>
      </c>
      <c r="G251" s="338">
        <v>0</v>
      </c>
      <c r="H251" s="77">
        <v>15000</v>
      </c>
      <c r="I251" s="77">
        <v>6300</v>
      </c>
      <c r="J251" s="8">
        <f>(K251-I251)/I251</f>
        <v>0</v>
      </c>
      <c r="K251" s="77">
        <v>6300</v>
      </c>
      <c r="L251" s="8">
        <f>(M251-K251)/K251</f>
        <v>2.0952380952380953</v>
      </c>
      <c r="M251" s="77">
        <v>19500</v>
      </c>
      <c r="N251" s="8">
        <f>(O251-M251)/M251</f>
        <v>0.23410512820512816</v>
      </c>
      <c r="O251" s="77">
        <v>24065.05</v>
      </c>
      <c r="P251" s="8">
        <f>(Q251-O251)/O251</f>
        <v>3.2139650655203291</v>
      </c>
      <c r="Q251" s="77">
        <v>101409.28</v>
      </c>
      <c r="R251" s="8">
        <f>(S251-Q251)/Q251</f>
        <v>-0.9951187899174514</v>
      </c>
      <c r="S251" s="77">
        <v>495</v>
      </c>
      <c r="T251" s="8">
        <f>(U251-S251)/S251</f>
        <v>-1</v>
      </c>
      <c r="U251" s="521">
        <v>0</v>
      </c>
      <c r="V251" s="8" t="e">
        <f>(W251-U251)/U251</f>
        <v>#DIV/0!</v>
      </c>
      <c r="W251" s="77">
        <v>0</v>
      </c>
      <c r="X251" s="8" t="e">
        <f>(Y251-W251)/W251</f>
        <v>#DIV/0!</v>
      </c>
      <c r="Y251" s="77">
        <v>0</v>
      </c>
      <c r="Z251" s="8" t="e">
        <f t="shared" si="290"/>
        <v>#DIV/0!</v>
      </c>
      <c r="AA251" s="77">
        <v>0</v>
      </c>
      <c r="AB251" s="8" t="e">
        <f t="shared" si="291"/>
        <v>#DIV/0!</v>
      </c>
      <c r="AC251" s="77">
        <v>0</v>
      </c>
      <c r="AD251" s="723" t="s">
        <v>457</v>
      </c>
      <c r="AE251" s="724"/>
      <c r="AF251" s="724"/>
      <c r="AG251" s="724"/>
      <c r="AH251" s="725"/>
      <c r="AI251" s="809"/>
      <c r="AJ251" s="812"/>
      <c r="AK251" s="792"/>
      <c r="AL251" s="792"/>
    </row>
    <row r="252" spans="1:38" ht="33.6" customHeight="1" x14ac:dyDescent="0.25">
      <c r="A252" s="69">
        <v>3071</v>
      </c>
      <c r="B252" s="70" t="s">
        <v>243</v>
      </c>
      <c r="C252" s="89">
        <v>0</v>
      </c>
      <c r="D252" s="89">
        <v>0</v>
      </c>
      <c r="E252" s="117">
        <v>0</v>
      </c>
      <c r="F252" s="108">
        <v>0</v>
      </c>
      <c r="G252" s="338">
        <v>0</v>
      </c>
      <c r="H252" s="77">
        <v>0</v>
      </c>
      <c r="I252" s="77">
        <v>0</v>
      </c>
      <c r="J252" s="8" t="e">
        <f t="shared" ref="J252" si="300">(K252-I252)/I252</f>
        <v>#DIV/0!</v>
      </c>
      <c r="K252" s="77">
        <v>0</v>
      </c>
      <c r="L252" s="8" t="e">
        <f>(M252-K252)/K252</f>
        <v>#DIV/0!</v>
      </c>
      <c r="M252" s="77">
        <v>0</v>
      </c>
      <c r="N252" s="8" t="e">
        <f>(O252-M252)/M252</f>
        <v>#DIV/0!</v>
      </c>
      <c r="O252" s="77">
        <v>0</v>
      </c>
      <c r="P252" s="8" t="e">
        <f>(Q252-O252)/O252</f>
        <v>#DIV/0!</v>
      </c>
      <c r="Q252" s="77">
        <v>0</v>
      </c>
      <c r="R252" s="8" t="e">
        <f>(S252-Q252)/Q252</f>
        <v>#DIV/0!</v>
      </c>
      <c r="S252" s="77">
        <v>0</v>
      </c>
      <c r="T252" s="8" t="e">
        <f>(U252-S252)/S252</f>
        <v>#DIV/0!</v>
      </c>
      <c r="U252" s="521">
        <v>0</v>
      </c>
      <c r="V252" s="8" t="e">
        <f>(W252-U252)/U252</f>
        <v>#DIV/0!</v>
      </c>
      <c r="W252" s="77">
        <v>0</v>
      </c>
      <c r="X252" s="8" t="e">
        <f>(Y252-W252)/W252</f>
        <v>#DIV/0!</v>
      </c>
      <c r="Y252" s="77">
        <v>0</v>
      </c>
      <c r="Z252" s="8" t="e">
        <f t="shared" si="290"/>
        <v>#DIV/0!</v>
      </c>
      <c r="AA252" s="77">
        <v>0</v>
      </c>
      <c r="AB252" s="8" t="e">
        <f t="shared" si="291"/>
        <v>#DIV/0!</v>
      </c>
      <c r="AC252" s="77">
        <v>0</v>
      </c>
      <c r="AD252" s="855" t="s">
        <v>252</v>
      </c>
      <c r="AE252" s="843"/>
      <c r="AF252" s="843"/>
      <c r="AG252" s="843"/>
      <c r="AH252" s="844"/>
    </row>
    <row r="253" spans="1:38" s="17" customFormat="1" ht="336.75" customHeight="1" x14ac:dyDescent="0.2">
      <c r="A253" s="775">
        <v>3079</v>
      </c>
      <c r="B253" s="776" t="s">
        <v>39</v>
      </c>
      <c r="C253" s="76">
        <v>49491.31</v>
      </c>
      <c r="D253" s="108">
        <v>49491.31</v>
      </c>
      <c r="E253" s="108">
        <v>68650</v>
      </c>
      <c r="F253" s="108">
        <v>68292.789999999994</v>
      </c>
      <c r="G253" s="338">
        <v>104035</v>
      </c>
      <c r="H253" s="108">
        <v>49158.42</v>
      </c>
      <c r="I253" s="778">
        <v>82865.58</v>
      </c>
      <c r="J253" s="752">
        <f t="shared" ref="J253" si="301">(K253-I253)/I253</f>
        <v>-0.51729053245026468</v>
      </c>
      <c r="K253" s="754">
        <v>40000</v>
      </c>
      <c r="L253" s="752">
        <f t="shared" ref="L253" si="302">(M253-K253)/K253</f>
        <v>0</v>
      </c>
      <c r="M253" s="754">
        <v>40000</v>
      </c>
      <c r="N253" s="752">
        <f t="shared" ref="N253" si="303">(O253-M253)/M253</f>
        <v>-0.33359399999999995</v>
      </c>
      <c r="O253" s="754">
        <v>26656.240000000002</v>
      </c>
      <c r="P253" s="752">
        <f t="shared" ref="P253" si="304">(Q253-O253)/O253</f>
        <v>0.47888411869040781</v>
      </c>
      <c r="Q253" s="754">
        <v>39421.49</v>
      </c>
      <c r="R253" s="752">
        <f t="shared" ref="R253" si="305">(S253-Q253)/Q253</f>
        <v>0</v>
      </c>
      <c r="S253" s="754">
        <v>39421.49</v>
      </c>
      <c r="T253" s="752">
        <f t="shared" ref="T253" si="306">(U253-S253)/S253</f>
        <v>0</v>
      </c>
      <c r="U253" s="756">
        <v>39421.49</v>
      </c>
      <c r="V253" s="752">
        <f t="shared" ref="V253" si="307">(W253-U253)/U253</f>
        <v>0</v>
      </c>
      <c r="W253" s="754">
        <v>39421.49</v>
      </c>
      <c r="X253" s="752">
        <f t="shared" ref="X253" si="308">(Y253-W253)/W253</f>
        <v>0</v>
      </c>
      <c r="Y253" s="754">
        <v>39421.49</v>
      </c>
      <c r="Z253" s="752">
        <f t="shared" si="290"/>
        <v>0</v>
      </c>
      <c r="AA253" s="754">
        <v>39421.49</v>
      </c>
      <c r="AB253" s="752">
        <f t="shared" si="291"/>
        <v>0</v>
      </c>
      <c r="AC253" s="754">
        <v>39421.49</v>
      </c>
      <c r="AD253" s="711" t="s">
        <v>322</v>
      </c>
      <c r="AE253" s="767"/>
      <c r="AF253" s="767"/>
      <c r="AG253" s="767"/>
      <c r="AH253" s="768"/>
      <c r="AI253" s="410"/>
      <c r="AJ253" s="412"/>
      <c r="AK253" s="411"/>
      <c r="AL253" s="411"/>
    </row>
    <row r="254" spans="1:38" ht="146.25" customHeight="1" x14ac:dyDescent="0.25">
      <c r="A254" s="753"/>
      <c r="B254" s="777"/>
      <c r="C254" s="76">
        <v>49491.31</v>
      </c>
      <c r="D254" s="108">
        <v>49491.31</v>
      </c>
      <c r="E254" s="108">
        <v>68650</v>
      </c>
      <c r="F254" s="108">
        <v>68292.789999999994</v>
      </c>
      <c r="G254" s="338">
        <v>104035</v>
      </c>
      <c r="H254" s="108">
        <v>49158.42</v>
      </c>
      <c r="I254" s="753"/>
      <c r="J254" s="753"/>
      <c r="K254" s="753"/>
      <c r="L254" s="753"/>
      <c r="M254" s="753"/>
      <c r="N254" s="753"/>
      <c r="O254" s="755"/>
      <c r="P254" s="753"/>
      <c r="Q254" s="755"/>
      <c r="R254" s="753"/>
      <c r="S254" s="755"/>
      <c r="T254" s="753"/>
      <c r="U254" s="757"/>
      <c r="V254" s="753"/>
      <c r="W254" s="753"/>
      <c r="X254" s="753"/>
      <c r="Y254" s="753"/>
      <c r="Z254" s="753"/>
      <c r="AA254" s="753"/>
      <c r="AB254" s="753"/>
      <c r="AC254" s="753"/>
      <c r="AD254" s="711" t="s">
        <v>358</v>
      </c>
      <c r="AE254" s="677"/>
      <c r="AF254" s="677"/>
      <c r="AG254" s="677"/>
      <c r="AH254" s="678"/>
      <c r="AI254" s="804"/>
      <c r="AJ254" s="787"/>
      <c r="AK254" s="787"/>
      <c r="AL254" s="787"/>
    </row>
    <row r="255" spans="1:38" ht="117" customHeight="1" x14ac:dyDescent="0.25">
      <c r="A255" s="2">
        <v>3080</v>
      </c>
      <c r="B255" s="19" t="s">
        <v>238</v>
      </c>
      <c r="C255" s="76">
        <v>0</v>
      </c>
      <c r="D255" s="108">
        <v>0</v>
      </c>
      <c r="E255" s="108">
        <v>0</v>
      </c>
      <c r="F255" s="77">
        <v>38000</v>
      </c>
      <c r="G255" s="338">
        <v>32967.9</v>
      </c>
      <c r="H255" s="77">
        <v>1076.52</v>
      </c>
      <c r="I255" s="77">
        <v>658.97</v>
      </c>
      <c r="J255" s="8">
        <f>(K255-I255)/I255</f>
        <v>-1</v>
      </c>
      <c r="K255" s="77">
        <v>0</v>
      </c>
      <c r="L255" s="8" t="e">
        <f>(M255-K255)/K255</f>
        <v>#DIV/0!</v>
      </c>
      <c r="M255" s="77">
        <v>0</v>
      </c>
      <c r="N255" s="8" t="e">
        <f>(O255-M255)/M255</f>
        <v>#DIV/0!</v>
      </c>
      <c r="O255" s="77">
        <v>0</v>
      </c>
      <c r="P255" s="8" t="e">
        <f>(Q255-O255)/O255</f>
        <v>#DIV/0!</v>
      </c>
      <c r="Q255" s="77">
        <v>0</v>
      </c>
      <c r="R255" s="8" t="e">
        <f t="shared" si="292"/>
        <v>#DIV/0!</v>
      </c>
      <c r="S255" s="77">
        <v>0</v>
      </c>
      <c r="T255" s="8" t="e">
        <f t="shared" si="293"/>
        <v>#DIV/0!</v>
      </c>
      <c r="U255" s="521">
        <v>0</v>
      </c>
      <c r="V255" s="8" t="e">
        <f t="shared" ref="V255:V258" si="309">(W255-U255)/U255</f>
        <v>#DIV/0!</v>
      </c>
      <c r="W255" s="77">
        <v>0</v>
      </c>
      <c r="X255" s="8" t="e">
        <f t="shared" ref="X255:X258" si="310">(Y255-W255)/W255</f>
        <v>#DIV/0!</v>
      </c>
      <c r="Y255" s="77">
        <v>0</v>
      </c>
      <c r="Z255" s="8" t="e">
        <f>(AA255-Y255)/Y255</f>
        <v>#DIV/0!</v>
      </c>
      <c r="AA255" s="77">
        <v>0</v>
      </c>
      <c r="AB255" s="8" t="e">
        <f>(AC255-AA255)/AA255</f>
        <v>#DIV/0!</v>
      </c>
      <c r="AC255" s="77">
        <v>0</v>
      </c>
      <c r="AD255" s="950" t="s">
        <v>277</v>
      </c>
      <c r="AE255" s="951"/>
      <c r="AF255" s="951"/>
      <c r="AG255" s="951"/>
      <c r="AH255" s="952"/>
      <c r="AI255" s="804"/>
      <c r="AJ255" s="660"/>
      <c r="AK255" s="660"/>
      <c r="AL255" s="660"/>
    </row>
    <row r="256" spans="1:38" ht="200.25" customHeight="1" x14ac:dyDescent="0.25">
      <c r="A256" s="2">
        <v>3081</v>
      </c>
      <c r="B256" s="19" t="s">
        <v>259</v>
      </c>
      <c r="C256" s="76">
        <v>50000</v>
      </c>
      <c r="D256" s="108">
        <v>85393</v>
      </c>
      <c r="E256" s="108">
        <v>9096.66</v>
      </c>
      <c r="F256" s="77">
        <v>4000</v>
      </c>
      <c r="G256" s="338">
        <v>5750</v>
      </c>
      <c r="H256" s="77">
        <v>80000</v>
      </c>
      <c r="I256" s="77">
        <v>73822</v>
      </c>
      <c r="J256" s="8">
        <f>(K256-I256)/I256</f>
        <v>8.3687789547831265E-2</v>
      </c>
      <c r="K256" s="77">
        <v>80000</v>
      </c>
      <c r="L256" s="8">
        <f>(M256-K256)/K256</f>
        <v>0</v>
      </c>
      <c r="M256" s="77">
        <v>80000</v>
      </c>
      <c r="N256" s="8">
        <f>(O256-M256)/M256</f>
        <v>0</v>
      </c>
      <c r="O256" s="77">
        <v>80000</v>
      </c>
      <c r="P256" s="8">
        <f>(Q256-O256)/O256</f>
        <v>0</v>
      </c>
      <c r="Q256" s="77">
        <v>80000</v>
      </c>
      <c r="R256" s="8">
        <f t="shared" si="292"/>
        <v>0</v>
      </c>
      <c r="S256" s="77">
        <v>80000</v>
      </c>
      <c r="T256" s="8">
        <f t="shared" si="293"/>
        <v>0</v>
      </c>
      <c r="U256" s="521">
        <v>80000</v>
      </c>
      <c r="V256" s="8">
        <f t="shared" si="309"/>
        <v>0</v>
      </c>
      <c r="W256" s="77">
        <v>80000</v>
      </c>
      <c r="X256" s="8">
        <f t="shared" si="310"/>
        <v>0</v>
      </c>
      <c r="Y256" s="77">
        <v>80000</v>
      </c>
      <c r="Z256" s="8">
        <f>(AA256-Y256)/Y256</f>
        <v>0</v>
      </c>
      <c r="AA256" s="77">
        <v>80000</v>
      </c>
      <c r="AB256" s="8">
        <f>(AC256-AA256)/AA256</f>
        <v>0</v>
      </c>
      <c r="AC256" s="77">
        <v>80000</v>
      </c>
      <c r="AD256" s="864" t="s">
        <v>265</v>
      </c>
      <c r="AE256" s="843"/>
      <c r="AF256" s="843"/>
      <c r="AG256" s="843"/>
      <c r="AH256" s="844"/>
      <c r="AI256" s="290"/>
      <c r="AJ256" s="291"/>
      <c r="AK256" s="291"/>
    </row>
    <row r="257" spans="1:38" s="17" customFormat="1" ht="193.5" customHeight="1" x14ac:dyDescent="0.25">
      <c r="A257" s="4">
        <v>3082</v>
      </c>
      <c r="B257" s="26" t="s">
        <v>40</v>
      </c>
      <c r="C257" s="76">
        <v>25086</v>
      </c>
      <c r="D257" s="108">
        <v>20856</v>
      </c>
      <c r="E257" s="108">
        <v>20000</v>
      </c>
      <c r="F257" s="77">
        <v>10620</v>
      </c>
      <c r="G257" s="338">
        <v>10620</v>
      </c>
      <c r="H257" s="77">
        <v>5000</v>
      </c>
      <c r="I257" s="77">
        <v>5000</v>
      </c>
      <c r="J257" s="8">
        <f>(K257-I257)/I257</f>
        <v>0</v>
      </c>
      <c r="K257" s="77">
        <v>5000</v>
      </c>
      <c r="L257" s="8">
        <f>(M257-K257)/K257</f>
        <v>0</v>
      </c>
      <c r="M257" s="77">
        <v>5000</v>
      </c>
      <c r="N257" s="8">
        <f>(O257-M257)/M257</f>
        <v>9</v>
      </c>
      <c r="O257" s="77">
        <v>50000</v>
      </c>
      <c r="P257" s="8">
        <f>(Q257-O257)/O257</f>
        <v>0</v>
      </c>
      <c r="Q257" s="77">
        <v>50000</v>
      </c>
      <c r="R257" s="8">
        <f t="shared" si="292"/>
        <v>0.01</v>
      </c>
      <c r="S257" s="77">
        <v>50500</v>
      </c>
      <c r="T257" s="8">
        <f t="shared" si="293"/>
        <v>-0.53069306930693072</v>
      </c>
      <c r="U257" s="521">
        <v>23700</v>
      </c>
      <c r="V257" s="8">
        <f t="shared" si="309"/>
        <v>0</v>
      </c>
      <c r="W257" s="77">
        <v>23700</v>
      </c>
      <c r="X257" s="8">
        <f t="shared" si="310"/>
        <v>0</v>
      </c>
      <c r="Y257" s="77">
        <v>23700</v>
      </c>
      <c r="Z257" s="8">
        <f>(AA257-Y257)/Y257</f>
        <v>0</v>
      </c>
      <c r="AA257" s="77">
        <v>23700</v>
      </c>
      <c r="AB257" s="8">
        <f>(AC257-AA257)/AA257</f>
        <v>0</v>
      </c>
      <c r="AC257" s="77">
        <v>23700</v>
      </c>
      <c r="AD257" s="723" t="s">
        <v>453</v>
      </c>
      <c r="AE257" s="724"/>
      <c r="AF257" s="724"/>
      <c r="AG257" s="724"/>
      <c r="AH257" s="725"/>
      <c r="AI257" s="290"/>
      <c r="AJ257" s="291"/>
      <c r="AK257" s="291"/>
    </row>
    <row r="258" spans="1:38" s="17" customFormat="1" ht="27.6" customHeight="1" x14ac:dyDescent="0.25">
      <c r="A258" s="69">
        <v>3083</v>
      </c>
      <c r="B258" s="120" t="s">
        <v>13</v>
      </c>
      <c r="C258" s="76">
        <v>0</v>
      </c>
      <c r="D258" s="108">
        <v>0</v>
      </c>
      <c r="E258" s="108">
        <v>0</v>
      </c>
      <c r="F258" s="77">
        <v>0</v>
      </c>
      <c r="G258" s="338">
        <v>0</v>
      </c>
      <c r="H258" s="77">
        <v>0</v>
      </c>
      <c r="I258" s="77">
        <v>0</v>
      </c>
      <c r="J258" s="8" t="e">
        <f t="shared" ref="J258" si="311">(K258-I258)/I258</f>
        <v>#DIV/0!</v>
      </c>
      <c r="K258" s="77">
        <v>0</v>
      </c>
      <c r="L258" s="8" t="e">
        <f t="shared" ref="L258" si="312">(M258-K258)/K258</f>
        <v>#DIV/0!</v>
      </c>
      <c r="M258" s="77">
        <v>0</v>
      </c>
      <c r="N258" s="8" t="e">
        <f t="shared" ref="N258" si="313">(O258-M258)/M258</f>
        <v>#DIV/0!</v>
      </c>
      <c r="O258" s="77">
        <v>0</v>
      </c>
      <c r="P258" s="8" t="e">
        <f t="shared" ref="P258" si="314">(Q258-O258)/O258</f>
        <v>#DIV/0!</v>
      </c>
      <c r="Q258" s="77">
        <v>0</v>
      </c>
      <c r="R258" s="8" t="e">
        <f t="shared" si="292"/>
        <v>#DIV/0!</v>
      </c>
      <c r="S258" s="77">
        <v>0</v>
      </c>
      <c r="T258" s="8" t="e">
        <f t="shared" si="293"/>
        <v>#DIV/0!</v>
      </c>
      <c r="U258" s="521">
        <v>0</v>
      </c>
      <c r="V258" s="8" t="e">
        <f t="shared" si="309"/>
        <v>#DIV/0!</v>
      </c>
      <c r="W258" s="75">
        <v>0</v>
      </c>
      <c r="X258" s="8" t="e">
        <f t="shared" si="310"/>
        <v>#DIV/0!</v>
      </c>
      <c r="Y258" s="75">
        <v>0</v>
      </c>
      <c r="Z258" s="8" t="e">
        <f>(AA258-Y258)/Y258</f>
        <v>#DIV/0!</v>
      </c>
      <c r="AA258" s="75">
        <v>0</v>
      </c>
      <c r="AB258" s="8" t="e">
        <f>(AC258-AA258)/AA258</f>
        <v>#DIV/0!</v>
      </c>
      <c r="AC258" s="75">
        <v>0</v>
      </c>
      <c r="AD258" s="855"/>
      <c r="AE258" s="859"/>
      <c r="AF258" s="859"/>
      <c r="AG258" s="859"/>
      <c r="AH258" s="860"/>
      <c r="AI258" s="290"/>
      <c r="AJ258" s="291"/>
      <c r="AK258" s="291"/>
    </row>
    <row r="259" spans="1:38" s="17" customFormat="1" ht="48" customHeight="1" x14ac:dyDescent="0.25">
      <c r="A259" s="358">
        <v>3084</v>
      </c>
      <c r="B259" s="359" t="s">
        <v>14</v>
      </c>
      <c r="C259" s="360">
        <v>0</v>
      </c>
      <c r="D259" s="360">
        <v>0</v>
      </c>
      <c r="E259" s="360">
        <v>0</v>
      </c>
      <c r="F259" s="360">
        <v>0</v>
      </c>
      <c r="G259" s="362"/>
      <c r="H259" s="360">
        <v>0</v>
      </c>
      <c r="I259" s="360">
        <v>0</v>
      </c>
      <c r="J259" s="361"/>
      <c r="K259" s="360">
        <v>0</v>
      </c>
      <c r="L259" s="361"/>
      <c r="M259" s="360">
        <v>0</v>
      </c>
      <c r="N259" s="361"/>
      <c r="O259" s="360">
        <v>0</v>
      </c>
      <c r="P259" s="361"/>
      <c r="Q259" s="360">
        <v>0</v>
      </c>
      <c r="R259" s="361"/>
      <c r="S259" s="360">
        <v>0</v>
      </c>
      <c r="T259" s="361"/>
      <c r="U259" s="363">
        <v>0</v>
      </c>
      <c r="V259" s="361"/>
      <c r="W259" s="360">
        <v>0</v>
      </c>
      <c r="X259" s="361"/>
      <c r="Y259" s="360">
        <v>0</v>
      </c>
      <c r="Z259" s="361"/>
      <c r="AA259" s="360">
        <v>0</v>
      </c>
      <c r="AB259" s="361"/>
      <c r="AC259" s="360">
        <v>0</v>
      </c>
      <c r="AD259" s="740" t="s">
        <v>237</v>
      </c>
      <c r="AE259" s="741"/>
      <c r="AF259" s="741"/>
      <c r="AG259" s="741"/>
      <c r="AH259" s="742"/>
      <c r="AI259" s="290"/>
      <c r="AJ259" s="291"/>
      <c r="AK259" s="291"/>
    </row>
    <row r="260" spans="1:38" s="17" customFormat="1" ht="42.75" customHeight="1" x14ac:dyDescent="0.25">
      <c r="A260" s="4">
        <v>3085</v>
      </c>
      <c r="B260" s="5" t="s">
        <v>7</v>
      </c>
      <c r="C260" s="76">
        <v>0</v>
      </c>
      <c r="D260" s="108">
        <v>0</v>
      </c>
      <c r="E260" s="108">
        <v>0</v>
      </c>
      <c r="F260" s="108">
        <v>0</v>
      </c>
      <c r="G260" s="338">
        <v>0</v>
      </c>
      <c r="H260" s="77">
        <v>0</v>
      </c>
      <c r="I260" s="77">
        <v>0</v>
      </c>
      <c r="J260" s="8" t="e">
        <f t="shared" ref="J260" si="315">(K260-I260)/I260</f>
        <v>#DIV/0!</v>
      </c>
      <c r="K260" s="77">
        <v>0</v>
      </c>
      <c r="L260" s="8" t="e">
        <f t="shared" ref="L260" si="316">(M260-K260)/K260</f>
        <v>#DIV/0!</v>
      </c>
      <c r="M260" s="77">
        <v>0</v>
      </c>
      <c r="N260" s="8" t="e">
        <f t="shared" ref="N260" si="317">(O260-M260)/M260</f>
        <v>#DIV/0!</v>
      </c>
      <c r="O260" s="77">
        <v>0</v>
      </c>
      <c r="P260" s="8" t="e">
        <f t="shared" ref="P260" si="318">(Q260-O260)/O260</f>
        <v>#DIV/0!</v>
      </c>
      <c r="Q260" s="77">
        <v>0</v>
      </c>
      <c r="R260" s="8" t="e">
        <f>(S260-Q260)/Q260</f>
        <v>#DIV/0!</v>
      </c>
      <c r="S260" s="77">
        <v>0</v>
      </c>
      <c r="T260" s="8" t="e">
        <f>(U260-S260)/S260</f>
        <v>#DIV/0!</v>
      </c>
      <c r="U260" s="521">
        <v>0</v>
      </c>
      <c r="V260" s="8" t="e">
        <f t="shared" ref="V260" si="319">(W260-U260)/U260</f>
        <v>#DIV/0!</v>
      </c>
      <c r="W260" s="75">
        <v>0</v>
      </c>
      <c r="X260" s="8" t="e">
        <f t="shared" ref="X260" si="320">(Y260-W260)/W260</f>
        <v>#DIV/0!</v>
      </c>
      <c r="Y260" s="75">
        <v>0</v>
      </c>
      <c r="Z260" s="8" t="e">
        <f t="shared" ref="Z260:Z266" si="321">(AA260-Y260)/Y260</f>
        <v>#DIV/0!</v>
      </c>
      <c r="AA260" s="75">
        <v>0</v>
      </c>
      <c r="AB260" s="8" t="e">
        <f t="shared" ref="AB260:AB266" si="322">(AC260-AA260)/AA260</f>
        <v>#DIV/0!</v>
      </c>
      <c r="AC260" s="75">
        <v>0</v>
      </c>
      <c r="AD260" s="858" t="s">
        <v>131</v>
      </c>
      <c r="AE260" s="843"/>
      <c r="AF260" s="843"/>
      <c r="AG260" s="843"/>
      <c r="AH260" s="844"/>
      <c r="AI260" s="290"/>
      <c r="AJ260" s="291"/>
      <c r="AK260" s="291"/>
    </row>
    <row r="261" spans="1:38" s="17" customFormat="1" ht="107.25" customHeight="1" x14ac:dyDescent="0.25">
      <c r="A261" s="2">
        <v>3086</v>
      </c>
      <c r="B261" s="3" t="s">
        <v>8</v>
      </c>
      <c r="C261" s="76">
        <v>12000</v>
      </c>
      <c r="D261" s="108">
        <v>12000</v>
      </c>
      <c r="E261" s="108">
        <v>12000</v>
      </c>
      <c r="F261" s="108">
        <v>8500</v>
      </c>
      <c r="G261" s="338">
        <v>8500</v>
      </c>
      <c r="H261" s="108">
        <v>8500</v>
      </c>
      <c r="I261" s="108">
        <v>8500</v>
      </c>
      <c r="J261" s="8">
        <f>(K261-I261)/I261</f>
        <v>0</v>
      </c>
      <c r="K261" s="108">
        <v>8500</v>
      </c>
      <c r="L261" s="8">
        <f>(M261-K261)/K261</f>
        <v>0</v>
      </c>
      <c r="M261" s="108">
        <v>8500</v>
      </c>
      <c r="N261" s="8">
        <f>(O261-M261)/M261</f>
        <v>0</v>
      </c>
      <c r="O261" s="108">
        <v>8500</v>
      </c>
      <c r="P261" s="8">
        <f>(Q261-O261)/O261</f>
        <v>0</v>
      </c>
      <c r="Q261" s="108">
        <v>8500</v>
      </c>
      <c r="R261" s="8">
        <f t="shared" ref="R261:R266" si="323">(S261-Q261)/Q261</f>
        <v>0</v>
      </c>
      <c r="S261" s="108">
        <v>8500</v>
      </c>
      <c r="T261" s="8">
        <f t="shared" ref="T261:T266" si="324">(U261-S261)/S261</f>
        <v>0</v>
      </c>
      <c r="U261" s="547">
        <v>8500</v>
      </c>
      <c r="V261" s="8">
        <f t="shared" ref="V261:V266" si="325">(W261-U261)/U261</f>
        <v>0</v>
      </c>
      <c r="W261" s="108">
        <v>8500</v>
      </c>
      <c r="X261" s="8">
        <f t="shared" ref="X261:X266" si="326">(Y261-W261)/W261</f>
        <v>0</v>
      </c>
      <c r="Y261" s="108">
        <v>8500</v>
      </c>
      <c r="Z261" s="8">
        <f t="shared" si="321"/>
        <v>0</v>
      </c>
      <c r="AA261" s="108">
        <v>8500</v>
      </c>
      <c r="AB261" s="8">
        <f t="shared" si="322"/>
        <v>0</v>
      </c>
      <c r="AC261" s="108">
        <v>8500</v>
      </c>
      <c r="AD261" s="864" t="s">
        <v>284</v>
      </c>
      <c r="AE261" s="1085"/>
      <c r="AF261" s="1085"/>
      <c r="AG261" s="1085"/>
      <c r="AH261" s="1086"/>
      <c r="AI261" s="290"/>
      <c r="AJ261" s="291"/>
      <c r="AK261" s="291"/>
    </row>
    <row r="262" spans="1:38" s="17" customFormat="1" ht="210" customHeight="1" x14ac:dyDescent="0.25">
      <c r="A262" s="2">
        <v>3087</v>
      </c>
      <c r="B262" s="3" t="s">
        <v>41</v>
      </c>
      <c r="C262" s="76">
        <v>18000</v>
      </c>
      <c r="D262" s="108">
        <v>18000</v>
      </c>
      <c r="E262" s="108">
        <v>9500</v>
      </c>
      <c r="F262" s="108">
        <v>18000</v>
      </c>
      <c r="G262" s="338">
        <v>18000</v>
      </c>
      <c r="H262" s="77">
        <v>23000</v>
      </c>
      <c r="I262" s="77">
        <v>5394</v>
      </c>
      <c r="J262" s="8">
        <f t="shared" ref="J262" si="327">(K262-I262)/I262</f>
        <v>0.85391175380051909</v>
      </c>
      <c r="K262" s="77">
        <v>10000</v>
      </c>
      <c r="L262" s="8">
        <f t="shared" ref="L262" si="328">(M262-K262)/K262</f>
        <v>2</v>
      </c>
      <c r="M262" s="77">
        <v>30000</v>
      </c>
      <c r="N262" s="8">
        <f t="shared" ref="N262" si="329">(O262-M262)/M262</f>
        <v>0.1</v>
      </c>
      <c r="O262" s="77">
        <v>33000</v>
      </c>
      <c r="P262" s="8">
        <f t="shared" ref="P262" si="330">(Q262-O262)/O262</f>
        <v>-0.54011484848484848</v>
      </c>
      <c r="Q262" s="77">
        <v>15176.21</v>
      </c>
      <c r="R262" s="8">
        <f t="shared" si="323"/>
        <v>0.31785208559976447</v>
      </c>
      <c r="S262" s="77">
        <v>20000</v>
      </c>
      <c r="T262" s="8">
        <f t="shared" si="324"/>
        <v>0.25</v>
      </c>
      <c r="U262" s="521">
        <v>25000</v>
      </c>
      <c r="V262" s="8">
        <f t="shared" si="325"/>
        <v>0.2</v>
      </c>
      <c r="W262" s="77">
        <v>30000</v>
      </c>
      <c r="X262" s="8">
        <f t="shared" si="326"/>
        <v>0.16666666666666666</v>
      </c>
      <c r="Y262" s="77">
        <v>35000</v>
      </c>
      <c r="Z262" s="8">
        <f t="shared" si="321"/>
        <v>0.14285714285714285</v>
      </c>
      <c r="AA262" s="77">
        <v>40000</v>
      </c>
      <c r="AB262" s="8">
        <f t="shared" si="322"/>
        <v>0.125</v>
      </c>
      <c r="AC262" s="77">
        <v>45000</v>
      </c>
      <c r="AD262" s="855" t="s">
        <v>433</v>
      </c>
      <c r="AE262" s="856"/>
      <c r="AF262" s="856"/>
      <c r="AG262" s="856"/>
      <c r="AH262" s="857"/>
      <c r="AI262" s="804"/>
      <c r="AJ262" s="805"/>
      <c r="AK262" s="805"/>
      <c r="AL262" s="805"/>
    </row>
    <row r="263" spans="1:38" s="17" customFormat="1" ht="384.75" customHeight="1" x14ac:dyDescent="0.25">
      <c r="A263" s="69">
        <v>3089</v>
      </c>
      <c r="B263" s="120" t="s">
        <v>236</v>
      </c>
      <c r="C263" s="85">
        <v>120000</v>
      </c>
      <c r="D263" s="111">
        <v>257000</v>
      </c>
      <c r="E263" s="111">
        <v>357000</v>
      </c>
      <c r="F263" s="111">
        <v>410000</v>
      </c>
      <c r="G263" s="338">
        <v>410000</v>
      </c>
      <c r="H263" s="111">
        <v>400000</v>
      </c>
      <c r="I263" s="111">
        <v>312283</v>
      </c>
      <c r="J263" s="8">
        <f>(K263-I263)/I263</f>
        <v>0.23285609527255727</v>
      </c>
      <c r="K263" s="111">
        <v>385000</v>
      </c>
      <c r="L263" s="8">
        <f>(M263-K263)/K263</f>
        <v>-9.0909090909090912E-2</v>
      </c>
      <c r="M263" s="111">
        <v>350000</v>
      </c>
      <c r="N263" s="8">
        <f>(O263-M263)/M263</f>
        <v>-1.4285714285714285E-2</v>
      </c>
      <c r="O263" s="111">
        <v>345000</v>
      </c>
      <c r="P263" s="8">
        <f>(Q263-O263)/O263</f>
        <v>-0.31136292753623185</v>
      </c>
      <c r="Q263" s="111">
        <v>237579.79</v>
      </c>
      <c r="R263" s="8">
        <f t="shared" si="323"/>
        <v>-0.2213142372084764</v>
      </c>
      <c r="S263" s="111">
        <v>185000</v>
      </c>
      <c r="T263" s="8">
        <f t="shared" si="324"/>
        <v>-0.72972972972972971</v>
      </c>
      <c r="U263" s="549">
        <v>50000</v>
      </c>
      <c r="V263" s="8">
        <f t="shared" si="325"/>
        <v>-1</v>
      </c>
      <c r="W263" s="111">
        <v>0</v>
      </c>
      <c r="X263" s="8" t="e">
        <f t="shared" si="326"/>
        <v>#DIV/0!</v>
      </c>
      <c r="Y263" s="111">
        <v>0</v>
      </c>
      <c r="Z263" s="8" t="e">
        <f t="shared" si="321"/>
        <v>#DIV/0!</v>
      </c>
      <c r="AA263" s="111">
        <v>0</v>
      </c>
      <c r="AB263" s="8" t="e">
        <f t="shared" si="322"/>
        <v>#DIV/0!</v>
      </c>
      <c r="AC263" s="111">
        <v>0</v>
      </c>
      <c r="AD263" s="723" t="s">
        <v>371</v>
      </c>
      <c r="AE263" s="724"/>
      <c r="AF263" s="724"/>
      <c r="AG263" s="724"/>
      <c r="AH263" s="725"/>
      <c r="AI263" s="804"/>
      <c r="AJ263" s="805"/>
      <c r="AK263" s="805"/>
      <c r="AL263" s="805"/>
    </row>
    <row r="264" spans="1:38" ht="55.5" customHeight="1" thickBot="1" x14ac:dyDescent="0.3">
      <c r="A264" s="4">
        <v>3090</v>
      </c>
      <c r="B264" s="5" t="s">
        <v>197</v>
      </c>
      <c r="C264" s="85">
        <v>250000</v>
      </c>
      <c r="D264" s="111">
        <v>250000</v>
      </c>
      <c r="E264" s="111">
        <v>250000</v>
      </c>
      <c r="F264" s="111">
        <v>250000</v>
      </c>
      <c r="G264" s="347">
        <v>250000</v>
      </c>
      <c r="H264" s="111">
        <v>250000</v>
      </c>
      <c r="I264" s="111">
        <v>250000</v>
      </c>
      <c r="J264" s="8">
        <f t="shared" ref="J264" si="331">(K264-I264)/I264</f>
        <v>0</v>
      </c>
      <c r="K264" s="111">
        <v>250000</v>
      </c>
      <c r="L264" s="8">
        <f t="shared" ref="L264" si="332">(M264-K264)/K264</f>
        <v>0</v>
      </c>
      <c r="M264" s="111">
        <v>250000</v>
      </c>
      <c r="N264" s="8">
        <f t="shared" ref="N264" si="333">(O264-M264)/M264</f>
        <v>0</v>
      </c>
      <c r="O264" s="111">
        <v>250000</v>
      </c>
      <c r="P264" s="8">
        <f t="shared" ref="P264" si="334">(Q264-O264)/O264</f>
        <v>0</v>
      </c>
      <c r="Q264" s="111">
        <v>250000</v>
      </c>
      <c r="R264" s="8">
        <f t="shared" si="323"/>
        <v>0</v>
      </c>
      <c r="S264" s="111">
        <v>250000</v>
      </c>
      <c r="T264" s="8">
        <f t="shared" si="324"/>
        <v>-0.102712</v>
      </c>
      <c r="U264" s="634">
        <v>224322</v>
      </c>
      <c r="V264" s="8">
        <f t="shared" si="325"/>
        <v>0</v>
      </c>
      <c r="W264" s="635">
        <v>224322</v>
      </c>
      <c r="X264" s="8">
        <f t="shared" si="326"/>
        <v>0</v>
      </c>
      <c r="Y264" s="111">
        <v>224322</v>
      </c>
      <c r="Z264" s="8">
        <f t="shared" si="321"/>
        <v>0</v>
      </c>
      <c r="AA264" s="111">
        <v>224322</v>
      </c>
      <c r="AB264" s="8">
        <f t="shared" si="322"/>
        <v>0</v>
      </c>
      <c r="AC264" s="111">
        <v>224322</v>
      </c>
      <c r="AD264" s="723" t="s">
        <v>502</v>
      </c>
      <c r="AE264" s="677"/>
      <c r="AF264" s="677"/>
      <c r="AG264" s="677"/>
      <c r="AH264" s="678"/>
      <c r="AI264" s="290"/>
      <c r="AJ264" s="291"/>
      <c r="AK264" s="291"/>
    </row>
    <row r="265" spans="1:38" ht="48" customHeight="1" thickBot="1" x14ac:dyDescent="0.3">
      <c r="A265" s="853" t="s">
        <v>15</v>
      </c>
      <c r="B265" s="854"/>
      <c r="C265" s="115">
        <f t="shared" ref="C265:I265" si="335">SUM(C229:C264)</f>
        <v>760804.75</v>
      </c>
      <c r="D265" s="115">
        <f t="shared" si="335"/>
        <v>936726.21</v>
      </c>
      <c r="E265" s="104">
        <f t="shared" si="335"/>
        <v>1024391.25</v>
      </c>
      <c r="F265" s="94">
        <f t="shared" si="335"/>
        <v>1128304.2</v>
      </c>
      <c r="G265" s="340">
        <f t="shared" si="335"/>
        <v>1261957.3</v>
      </c>
      <c r="H265" s="94">
        <f t="shared" si="335"/>
        <v>1194022.01</v>
      </c>
      <c r="I265" s="94">
        <f t="shared" si="335"/>
        <v>1011068.6799999999</v>
      </c>
      <c r="J265" s="45">
        <f>(K265-I265)/I265</f>
        <v>0.21166361319786897</v>
      </c>
      <c r="K265" s="94">
        <f>SUM(K229:K264)</f>
        <v>1225075.1299999999</v>
      </c>
      <c r="L265" s="45">
        <f>(M265-K265)/K265</f>
        <v>7.0126311355288073E-2</v>
      </c>
      <c r="M265" s="94">
        <f>SUM(M229:M264)</f>
        <v>1310985.1299999999</v>
      </c>
      <c r="N265" s="45">
        <f>(O265-M265)/M265</f>
        <v>-3.8157946154583768E-2</v>
      </c>
      <c r="O265" s="94">
        <f>SUM(O229:O264)</f>
        <v>1260960.6299999999</v>
      </c>
      <c r="P265" s="45">
        <f>(Q265-O265)/O265</f>
        <v>-8.1528794439838986E-2</v>
      </c>
      <c r="Q265" s="94">
        <f>SUM(Q229:Q264)</f>
        <v>1158156.03</v>
      </c>
      <c r="R265" s="45">
        <f t="shared" si="323"/>
        <v>-7.9781236384876289E-2</v>
      </c>
      <c r="S265" s="94">
        <f>SUM(S229:S264)</f>
        <v>1065756.9100000001</v>
      </c>
      <c r="T265" s="45">
        <f t="shared" si="324"/>
        <v>-0.20045316900642948</v>
      </c>
      <c r="U265" s="94">
        <f>SUM(U229:U264)</f>
        <v>852122.56</v>
      </c>
      <c r="V265" s="45">
        <f t="shared" si="325"/>
        <v>-5.280930480235143E-2</v>
      </c>
      <c r="W265" s="94">
        <f>SUM(W229:W264)</f>
        <v>807122.56</v>
      </c>
      <c r="X265" s="45">
        <f t="shared" si="326"/>
        <v>6.1948460466772232E-3</v>
      </c>
      <c r="Y265" s="94">
        <f>SUM(Y229:Y264)</f>
        <v>812122.56</v>
      </c>
      <c r="Z265" s="45">
        <f t="shared" si="321"/>
        <v>6.1567061996159788E-3</v>
      </c>
      <c r="AA265" s="94">
        <f>SUM(AA229:AA264)</f>
        <v>817122.56</v>
      </c>
      <c r="AB265" s="45">
        <f t="shared" si="322"/>
        <v>6.1190331105287314E-3</v>
      </c>
      <c r="AC265" s="94">
        <f>SUM(AC229:AC264)</f>
        <v>822122.56</v>
      </c>
      <c r="AD265" s="1087"/>
      <c r="AE265" s="1080"/>
      <c r="AF265" s="1080"/>
      <c r="AG265" s="1080"/>
      <c r="AH265" s="939"/>
    </row>
    <row r="266" spans="1:38" ht="36" customHeight="1" x14ac:dyDescent="0.25">
      <c r="A266" s="749" t="s">
        <v>16</v>
      </c>
      <c r="B266" s="750"/>
      <c r="C266" s="95">
        <f t="shared" ref="C266:I266" si="336">C227+C265</f>
        <v>1583480.08</v>
      </c>
      <c r="D266" s="95">
        <f t="shared" si="336"/>
        <v>1778273.6199999999</v>
      </c>
      <c r="E266" s="105">
        <f t="shared" si="336"/>
        <v>2131524.73</v>
      </c>
      <c r="F266" s="95">
        <f t="shared" si="336"/>
        <v>1965832.48</v>
      </c>
      <c r="G266" s="341">
        <f t="shared" si="336"/>
        <v>2107583.1900000004</v>
      </c>
      <c r="H266" s="95">
        <f t="shared" si="336"/>
        <v>2156361.86</v>
      </c>
      <c r="I266" s="95">
        <f t="shared" si="336"/>
        <v>1996988.5</v>
      </c>
      <c r="J266" s="45">
        <f>(K266-I266)/I266</f>
        <v>3.5027327398229849E-2</v>
      </c>
      <c r="K266" s="95">
        <f>K227+K265</f>
        <v>2066937.67</v>
      </c>
      <c r="L266" s="45">
        <f>(M266-K266)/K266</f>
        <v>8.1077698874199633E-2</v>
      </c>
      <c r="M266" s="95">
        <f>M227+M265</f>
        <v>2234520.2199999997</v>
      </c>
      <c r="N266" s="45">
        <f>(O266-M266)/M266</f>
        <v>5.259712977669994E-2</v>
      </c>
      <c r="O266" s="95">
        <f>O227+O265</f>
        <v>2352049.5699999998</v>
      </c>
      <c r="P266" s="45">
        <f>(Q266-O266)/O266</f>
        <v>-5.7802901662484765E-2</v>
      </c>
      <c r="Q266" s="95">
        <f>Q227+Q265</f>
        <v>2216094.2800000003</v>
      </c>
      <c r="R266" s="45">
        <f t="shared" si="323"/>
        <v>5.825332936647426E-2</v>
      </c>
      <c r="S266" s="95">
        <f>S227+S265</f>
        <v>2345189.15</v>
      </c>
      <c r="T266" s="45">
        <f t="shared" si="324"/>
        <v>-2.6255987582067489E-2</v>
      </c>
      <c r="U266" s="95">
        <f>U227+U265</f>
        <v>2283613.8928000005</v>
      </c>
      <c r="V266" s="45">
        <f t="shared" si="325"/>
        <v>-8.369331007250945E-2</v>
      </c>
      <c r="W266" s="95">
        <f>W227+W265</f>
        <v>2092490.6871839997</v>
      </c>
      <c r="X266" s="45">
        <f t="shared" si="326"/>
        <v>2.3007222498232071E-2</v>
      </c>
      <c r="Y266" s="95">
        <f>Y227+Y265</f>
        <v>2140633.0859995205</v>
      </c>
      <c r="Z266" s="45">
        <f t="shared" si="321"/>
        <v>1.5285600434745587E-2</v>
      </c>
      <c r="AA266" s="95">
        <f>AA227+AA265</f>
        <v>2173353.9480295056</v>
      </c>
      <c r="AB266" s="45">
        <f t="shared" si="322"/>
        <v>1.5141716807435845E-2</v>
      </c>
      <c r="AC266" s="95">
        <f>AC227+AC265</f>
        <v>2206262.258032891</v>
      </c>
      <c r="AD266" s="1088"/>
      <c r="AE266" s="1080"/>
      <c r="AF266" s="1080"/>
      <c r="AG266" s="1080"/>
      <c r="AH266" s="939"/>
    </row>
    <row r="267" spans="1:38" ht="37.9" customHeight="1" x14ac:dyDescent="0.25">
      <c r="B267" s="9" t="s">
        <v>163</v>
      </c>
      <c r="C267" s="96">
        <v>44914.2</v>
      </c>
      <c r="D267" s="96">
        <f t="shared" ref="D267:I267" si="337">D265-C265</f>
        <v>175921.45999999996</v>
      </c>
      <c r="E267" s="106">
        <f t="shared" si="337"/>
        <v>87665.040000000037</v>
      </c>
      <c r="F267" s="96">
        <f t="shared" si="337"/>
        <v>103912.94999999995</v>
      </c>
      <c r="G267" s="339">
        <f t="shared" si="337"/>
        <v>133653.10000000009</v>
      </c>
      <c r="H267" s="96">
        <f t="shared" si="337"/>
        <v>-67935.290000000037</v>
      </c>
      <c r="I267" s="96">
        <f t="shared" si="337"/>
        <v>-182953.33000000007</v>
      </c>
      <c r="J267" s="31"/>
      <c r="K267" s="96">
        <f>K265-I265</f>
        <v>214006.44999999995</v>
      </c>
      <c r="L267" s="31"/>
      <c r="M267" s="96">
        <f>M265-K265</f>
        <v>85910</v>
      </c>
      <c r="N267" s="31"/>
      <c r="O267" s="96">
        <f>O265-M265</f>
        <v>-50024.5</v>
      </c>
      <c r="P267" s="31"/>
      <c r="Q267" s="96">
        <f>Q265-O265</f>
        <v>-102804.59999999986</v>
      </c>
      <c r="R267" s="31"/>
      <c r="S267" s="96">
        <f>S265-Q265</f>
        <v>-92399.119999999879</v>
      </c>
      <c r="T267" s="31"/>
      <c r="U267" s="96">
        <f>U265-S265</f>
        <v>-213634.35000000009</v>
      </c>
      <c r="V267" s="31"/>
      <c r="W267" s="96">
        <f>W265-U265</f>
        <v>-45000</v>
      </c>
      <c r="X267" s="31"/>
      <c r="Y267" s="96">
        <f>Y265-W265</f>
        <v>5000</v>
      </c>
      <c r="Z267" s="31"/>
      <c r="AA267" s="96">
        <f>AA265-Y265</f>
        <v>5000</v>
      </c>
      <c r="AB267" s="31"/>
      <c r="AC267" s="96">
        <f>AC265-AA265</f>
        <v>5000</v>
      </c>
      <c r="AD267" s="1079" t="s">
        <v>261</v>
      </c>
      <c r="AE267" s="1080"/>
      <c r="AF267" s="1080"/>
      <c r="AG267" s="1080"/>
      <c r="AH267" s="939"/>
    </row>
  </sheetData>
  <mergeCells count="444">
    <mergeCell ref="AI75:AL75"/>
    <mergeCell ref="Z108:Z110"/>
    <mergeCell ref="AA108:AA110"/>
    <mergeCell ref="Z253:Z254"/>
    <mergeCell ref="AA253:AA254"/>
    <mergeCell ref="AD89:AH89"/>
    <mergeCell ref="AD114:AH114"/>
    <mergeCell ref="AD134:AH134"/>
    <mergeCell ref="AD127:AH127"/>
    <mergeCell ref="AD126:AH126"/>
    <mergeCell ref="AD123:AH123"/>
    <mergeCell ref="AD122:AH122"/>
    <mergeCell ref="AD124:AH124"/>
    <mergeCell ref="AD117:AH117"/>
    <mergeCell ref="AD109:AH110"/>
    <mergeCell ref="AD119:AH119"/>
    <mergeCell ref="AD118:AH118"/>
    <mergeCell ref="AD85:AH85"/>
    <mergeCell ref="AD217:AH217"/>
    <mergeCell ref="AD125:AH125"/>
    <mergeCell ref="AD102:AH102"/>
    <mergeCell ref="AD105:AH105"/>
    <mergeCell ref="AD107:AH107"/>
    <mergeCell ref="AB234:AB235"/>
    <mergeCell ref="AD267:AH267"/>
    <mergeCell ref="AD164:AH164"/>
    <mergeCell ref="AD255:AH255"/>
    <mergeCell ref="X253:X254"/>
    <mergeCell ref="O253:O254"/>
    <mergeCell ref="N253:N254"/>
    <mergeCell ref="AD209:AH209"/>
    <mergeCell ref="AD250:AH250"/>
    <mergeCell ref="AD229:AH229"/>
    <mergeCell ref="AD231:AH231"/>
    <mergeCell ref="AD248:AH248"/>
    <mergeCell ref="AD232:AH232"/>
    <mergeCell ref="AD256:AH256"/>
    <mergeCell ref="AD257:AH257"/>
    <mergeCell ref="AD259:AH259"/>
    <mergeCell ref="AD261:AH261"/>
    <mergeCell ref="U234:U235"/>
    <mergeCell ref="V234:V235"/>
    <mergeCell ref="W234:W235"/>
    <mergeCell ref="X234:X235"/>
    <mergeCell ref="Y253:Y254"/>
    <mergeCell ref="AD265:AH265"/>
    <mergeCell ref="AD266:AH266"/>
    <mergeCell ref="T234:T235"/>
    <mergeCell ref="AD79:AH79"/>
    <mergeCell ref="AD80:AH80"/>
    <mergeCell ref="AD98:AH98"/>
    <mergeCell ref="AD84:AH84"/>
    <mergeCell ref="AC234:AC235"/>
    <mergeCell ref="AB253:AB254"/>
    <mergeCell ref="AC253:AC254"/>
    <mergeCell ref="AD230:AH230"/>
    <mergeCell ref="M108:M110"/>
    <mergeCell ref="V108:V110"/>
    <mergeCell ref="AB108:AB110"/>
    <mergeCell ref="AC108:AC110"/>
    <mergeCell ref="AD87:AH87"/>
    <mergeCell ref="AD91:AH91"/>
    <mergeCell ref="AD90:AH90"/>
    <mergeCell ref="AD86:AH86"/>
    <mergeCell ref="AD88:AH88"/>
    <mergeCell ref="AD234:AH235"/>
    <mergeCell ref="AD236:AH236"/>
    <mergeCell ref="AD253:AH253"/>
    <mergeCell ref="AD149:AH149"/>
    <mergeCell ref="AD155:AH155"/>
    <mergeCell ref="AD150:AH150"/>
    <mergeCell ref="AD151:AH151"/>
    <mergeCell ref="AD141:AH141"/>
    <mergeCell ref="AD140:AH140"/>
    <mergeCell ref="AD94:AH94"/>
    <mergeCell ref="AD97:AH97"/>
    <mergeCell ref="AD156:AH156"/>
    <mergeCell ref="AD157:AH157"/>
    <mergeCell ref="AD113:AH113"/>
    <mergeCell ref="AD104:AH104"/>
    <mergeCell ref="AD129:AH129"/>
    <mergeCell ref="AD133:AH133"/>
    <mergeCell ref="AD139:AH139"/>
    <mergeCell ref="AD132:AH132"/>
    <mergeCell ref="AD135:AH135"/>
    <mergeCell ref="AD136:AH136"/>
    <mergeCell ref="AD103:AH103"/>
    <mergeCell ref="AD95:AH95"/>
    <mergeCell ref="AD96:AH96"/>
    <mergeCell ref="AD100:AH100"/>
    <mergeCell ref="AD153:AH153"/>
    <mergeCell ref="AD148:AH148"/>
    <mergeCell ref="AD146:AH146"/>
    <mergeCell ref="AD154:AH154"/>
    <mergeCell ref="AD144:AH144"/>
    <mergeCell ref="AD152:AH152"/>
    <mergeCell ref="A121:B121"/>
    <mergeCell ref="C109:C110"/>
    <mergeCell ref="I108:I110"/>
    <mergeCell ref="P108:P110"/>
    <mergeCell ref="Q108:Q110"/>
    <mergeCell ref="AD120:AH120"/>
    <mergeCell ref="AD108:AH108"/>
    <mergeCell ref="A108:A110"/>
    <mergeCell ref="T108:T110"/>
    <mergeCell ref="U108:U110"/>
    <mergeCell ref="AD115:AH115"/>
    <mergeCell ref="AD116:AH116"/>
    <mergeCell ref="N108:N110"/>
    <mergeCell ref="R108:R110"/>
    <mergeCell ref="S108:S110"/>
    <mergeCell ref="O108:O110"/>
    <mergeCell ref="J108:J110"/>
    <mergeCell ref="K108:K110"/>
    <mergeCell ref="L108:L110"/>
    <mergeCell ref="W108:W110"/>
    <mergeCell ref="X108:X110"/>
    <mergeCell ref="Y108:Y110"/>
    <mergeCell ref="A34:B34"/>
    <mergeCell ref="A37:B37"/>
    <mergeCell ref="A39:B39"/>
    <mergeCell ref="AD39:AH39"/>
    <mergeCell ref="AD37:AH37"/>
    <mergeCell ref="AE35:AH36"/>
    <mergeCell ref="A76:B76"/>
    <mergeCell ref="AD70:AH70"/>
    <mergeCell ref="AD64:AH64"/>
    <mergeCell ref="AD65:AH65"/>
    <mergeCell ref="AD71:AH71"/>
    <mergeCell ref="A40:B40"/>
    <mergeCell ref="AD46:AH46"/>
    <mergeCell ref="AD74:AH74"/>
    <mergeCell ref="AD56:AH56"/>
    <mergeCell ref="AD57:AH57"/>
    <mergeCell ref="AD63:AH63"/>
    <mergeCell ref="AD77:AH77"/>
    <mergeCell ref="AD76:AH76"/>
    <mergeCell ref="AD20:AH20"/>
    <mergeCell ref="AD21:AH21"/>
    <mergeCell ref="AD23:AH23"/>
    <mergeCell ref="AD25:AH25"/>
    <mergeCell ref="AD34:AH34"/>
    <mergeCell ref="AD30:AH30"/>
    <mergeCell ref="AD28:AH28"/>
    <mergeCell ref="AD29:AH29"/>
    <mergeCell ref="AD33:AH33"/>
    <mergeCell ref="AD31:AH31"/>
    <mergeCell ref="AD32:AH32"/>
    <mergeCell ref="AD27:AH27"/>
    <mergeCell ref="AD52:AH52"/>
    <mergeCell ref="AD49:AH49"/>
    <mergeCell ref="AD73:AH73"/>
    <mergeCell ref="AD68:AH68"/>
    <mergeCell ref="AD72:AH72"/>
    <mergeCell ref="AD75:AH75"/>
    <mergeCell ref="A1:AH1"/>
    <mergeCell ref="A3:B3"/>
    <mergeCell ref="AD3:AH3"/>
    <mergeCell ref="AD4:AH4"/>
    <mergeCell ref="A2:E2"/>
    <mergeCell ref="AD14:AH14"/>
    <mergeCell ref="AD15:AH15"/>
    <mergeCell ref="AD5:AH5"/>
    <mergeCell ref="AD7:AH7"/>
    <mergeCell ref="AD8:AH8"/>
    <mergeCell ref="AD9:AH9"/>
    <mergeCell ref="AD6:AH6"/>
    <mergeCell ref="AD11:AH11"/>
    <mergeCell ref="AD12:AH12"/>
    <mergeCell ref="AD13:AH13"/>
    <mergeCell ref="AD10:AH10"/>
    <mergeCell ref="A146:B146"/>
    <mergeCell ref="A147:B147"/>
    <mergeCell ref="AD147:AH147"/>
    <mergeCell ref="AD121:AH121"/>
    <mergeCell ref="AD112:AH112"/>
    <mergeCell ref="AD92:AH92"/>
    <mergeCell ref="AD93:AH93"/>
    <mergeCell ref="AD99:AH99"/>
    <mergeCell ref="AD106:AH106"/>
    <mergeCell ref="AD101:AH101"/>
    <mergeCell ref="AD111:AH111"/>
    <mergeCell ref="H108:H110"/>
    <mergeCell ref="B108:B110"/>
    <mergeCell ref="E108:E110"/>
    <mergeCell ref="F108:F110"/>
    <mergeCell ref="G108:G110"/>
    <mergeCell ref="A93:B93"/>
    <mergeCell ref="A126:B126"/>
    <mergeCell ref="AD137:AH137"/>
    <mergeCell ref="AD128:AH128"/>
    <mergeCell ref="AD138:AH138"/>
    <mergeCell ref="AD130:AH130"/>
    <mergeCell ref="AD131:AH131"/>
    <mergeCell ref="A125:B125"/>
    <mergeCell ref="A165:B165"/>
    <mergeCell ref="A166:B166"/>
    <mergeCell ref="AD167:AH167"/>
    <mergeCell ref="AD166:AH166"/>
    <mergeCell ref="AD165:AH165"/>
    <mergeCell ref="AD175:AH175"/>
    <mergeCell ref="AD176:AH176"/>
    <mergeCell ref="AD177:AH177"/>
    <mergeCell ref="AD173:AH173"/>
    <mergeCell ref="AD174:AH174"/>
    <mergeCell ref="AD168:AH168"/>
    <mergeCell ref="AD171:AH171"/>
    <mergeCell ref="AD169:AH169"/>
    <mergeCell ref="AD172:AH172"/>
    <mergeCell ref="AD170:AH170"/>
    <mergeCell ref="A184:B184"/>
    <mergeCell ref="AD197:AH197"/>
    <mergeCell ref="AD201:AH201"/>
    <mergeCell ref="AD205:AH205"/>
    <mergeCell ref="AD198:AH198"/>
    <mergeCell ref="AD196:AH196"/>
    <mergeCell ref="AD199:AH199"/>
    <mergeCell ref="AD192:AH192"/>
    <mergeCell ref="AD190:AH190"/>
    <mergeCell ref="AD191:AH191"/>
    <mergeCell ref="AD203:AH203"/>
    <mergeCell ref="AD204:AH204"/>
    <mergeCell ref="AD200:AH200"/>
    <mergeCell ref="AD195:AH195"/>
    <mergeCell ref="AD188:AH188"/>
    <mergeCell ref="A204:B204"/>
    <mergeCell ref="A185:B185"/>
    <mergeCell ref="AD189:AH189"/>
    <mergeCell ref="A205:B205"/>
    <mergeCell ref="AD185:AH185"/>
    <mergeCell ref="AD186:AH186"/>
    <mergeCell ref="AD187:AH187"/>
    <mergeCell ref="A228:B228"/>
    <mergeCell ref="AD213:AH213"/>
    <mergeCell ref="AD225:AH225"/>
    <mergeCell ref="AD228:AH228"/>
    <mergeCell ref="AD223:AH223"/>
    <mergeCell ref="AD215:AH215"/>
    <mergeCell ref="AD210:AH210"/>
    <mergeCell ref="AD211:AH211"/>
    <mergeCell ref="AD212:AH212"/>
    <mergeCell ref="AD221:AH221"/>
    <mergeCell ref="AD224:AH224"/>
    <mergeCell ref="AD220:AH220"/>
    <mergeCell ref="AD222:AH222"/>
    <mergeCell ref="AD218:AH218"/>
    <mergeCell ref="AD214:AH214"/>
    <mergeCell ref="AD226:AH226"/>
    <mergeCell ref="AD227:AH227"/>
    <mergeCell ref="AD216:AH216"/>
    <mergeCell ref="A226:B226"/>
    <mergeCell ref="A227:B227"/>
    <mergeCell ref="A265:B265"/>
    <mergeCell ref="AD262:AH262"/>
    <mergeCell ref="AD264:AH264"/>
    <mergeCell ref="AD263:AH263"/>
    <mergeCell ref="AD260:AH260"/>
    <mergeCell ref="AD258:AH258"/>
    <mergeCell ref="AD143:AH143"/>
    <mergeCell ref="AD145:AH145"/>
    <mergeCell ref="AD247:AH247"/>
    <mergeCell ref="AD254:AH254"/>
    <mergeCell ref="AD244:AH244"/>
    <mergeCell ref="AD246:AH246"/>
    <mergeCell ref="AD249:AH249"/>
    <mergeCell ref="AD245:AH245"/>
    <mergeCell ref="AD233:AH233"/>
    <mergeCell ref="AD252:AH252"/>
    <mergeCell ref="AD251:AH251"/>
    <mergeCell ref="AD243:AH243"/>
    <mergeCell ref="AD241:AH241"/>
    <mergeCell ref="AD239:AH239"/>
    <mergeCell ref="AD242:AH242"/>
    <mergeCell ref="AD237:AH237"/>
    <mergeCell ref="AD238:AH238"/>
    <mergeCell ref="AD240:AH240"/>
    <mergeCell ref="AD160:AH160"/>
    <mergeCell ref="AD159:AH159"/>
    <mergeCell ref="AD184:AH184"/>
    <mergeCell ref="AD179:AH179"/>
    <mergeCell ref="AD163:AH163"/>
    <mergeCell ref="AD158:AH158"/>
    <mergeCell ref="AD161:AH161"/>
    <mergeCell ref="AD162:AH162"/>
    <mergeCell ref="AD182:AH182"/>
    <mergeCell ref="AD183:AH183"/>
    <mergeCell ref="AD181:AH181"/>
    <mergeCell ref="AD180:AH180"/>
    <mergeCell ref="AD178:AH178"/>
    <mergeCell ref="AI255:AL255"/>
    <mergeCell ref="AI14:AL14"/>
    <mergeCell ref="AI77:AJ77"/>
    <mergeCell ref="AI82:AJ82"/>
    <mergeCell ref="AI101:AL101"/>
    <mergeCell ref="AI99:AL99"/>
    <mergeCell ref="AI78:AL78"/>
    <mergeCell ref="AI92:AL92"/>
    <mergeCell ref="AI69:AL69"/>
    <mergeCell ref="AI100:AL100"/>
    <mergeCell ref="AI114:AL114"/>
    <mergeCell ref="AI124:AL124"/>
    <mergeCell ref="AI195:AL195"/>
    <mergeCell ref="AI135:AL135"/>
    <mergeCell ref="AI149:AL149"/>
    <mergeCell ref="AI54:AL54"/>
    <mergeCell ref="AI156:AL156"/>
    <mergeCell ref="AI150:AM150"/>
    <mergeCell ref="AI132:AL132"/>
    <mergeCell ref="AI131:AL131"/>
    <mergeCell ref="AI194:AL194"/>
    <mergeCell ref="AI152:AL152"/>
    <mergeCell ref="AI171:AL171"/>
    <mergeCell ref="AI172:AL172"/>
    <mergeCell ref="AD142:AH142"/>
    <mergeCell ref="AI58:AL58"/>
    <mergeCell ref="AI59:AL59"/>
    <mergeCell ref="AI65:AL65"/>
    <mergeCell ref="AI74:AL74"/>
    <mergeCell ref="AI73:AL73"/>
    <mergeCell ref="AI50:AK50"/>
    <mergeCell ref="AI47:AJ47"/>
    <mergeCell ref="AI49:AJ49"/>
    <mergeCell ref="AI55:AL55"/>
    <mergeCell ref="AI64:AL64"/>
    <mergeCell ref="AI63:AJ63"/>
    <mergeCell ref="AI66:AJ66"/>
    <mergeCell ref="AK66:AL66"/>
    <mergeCell ref="AD82:AH82"/>
    <mergeCell ref="AD83:AH83"/>
    <mergeCell ref="AD69:AH69"/>
    <mergeCell ref="AD66:AH66"/>
    <mergeCell ref="AD67:AH67"/>
    <mergeCell ref="AD53:AH53"/>
    <mergeCell ref="AD81:AH81"/>
    <mergeCell ref="AI68:AJ68"/>
    <mergeCell ref="AI138:AJ138"/>
    <mergeCell ref="AD78:AH78"/>
    <mergeCell ref="AI6:AJ6"/>
    <mergeCell ref="AI262:AL262"/>
    <mergeCell ref="AI263:AL263"/>
    <mergeCell ref="AI45:AL45"/>
    <mergeCell ref="AI128:AL128"/>
    <mergeCell ref="AI81:AJ81"/>
    <mergeCell ref="AI155:AL155"/>
    <mergeCell ref="AI158:AL158"/>
    <mergeCell ref="AI197:AL197"/>
    <mergeCell ref="AI200:AL200"/>
    <mergeCell ref="AI202:AL202"/>
    <mergeCell ref="AI239:AL239"/>
    <mergeCell ref="AI237:AL237"/>
    <mergeCell ref="AI242:AL242"/>
    <mergeCell ref="AI245:AL245"/>
    <mergeCell ref="AI251:AL251"/>
    <mergeCell ref="AI254:AL254"/>
    <mergeCell ref="AI84:AL84"/>
    <mergeCell ref="AI105:AL105"/>
    <mergeCell ref="AI122:AL122"/>
    <mergeCell ref="AI129:AL129"/>
    <mergeCell ref="AI10:AL10"/>
    <mergeCell ref="AI11:AL11"/>
    <mergeCell ref="AI12:AL12"/>
    <mergeCell ref="AI190:AL190"/>
    <mergeCell ref="AI108:AI110"/>
    <mergeCell ref="AI112:AK112"/>
    <mergeCell ref="AI113:AK113"/>
    <mergeCell ref="AI168:AL168"/>
    <mergeCell ref="AI137:AL137"/>
    <mergeCell ref="AI161:AL161"/>
    <mergeCell ref="AI160:AL160"/>
    <mergeCell ref="AI141:AJ141"/>
    <mergeCell ref="AI180:AJ180"/>
    <mergeCell ref="AI176:AM176"/>
    <mergeCell ref="AI139:AL139"/>
    <mergeCell ref="AI136:AM136"/>
    <mergeCell ref="AI177:AM177"/>
    <mergeCell ref="AI115:AL115"/>
    <mergeCell ref="AI116:AL116"/>
    <mergeCell ref="AI175:AN175"/>
    <mergeCell ref="AI179:AL179"/>
    <mergeCell ref="AI153:AL153"/>
    <mergeCell ref="AI154:AL154"/>
    <mergeCell ref="AI159:AJ159"/>
    <mergeCell ref="A234:A235"/>
    <mergeCell ref="B234:B235"/>
    <mergeCell ref="M234:M235"/>
    <mergeCell ref="O234:O235"/>
    <mergeCell ref="N234:N235"/>
    <mergeCell ref="K234:K235"/>
    <mergeCell ref="L234:L235"/>
    <mergeCell ref="A253:A254"/>
    <mergeCell ref="B253:B254"/>
    <mergeCell ref="I253:I254"/>
    <mergeCell ref="J253:J254"/>
    <mergeCell ref="K253:K254"/>
    <mergeCell ref="M253:M254"/>
    <mergeCell ref="L253:L254"/>
    <mergeCell ref="A266:B266"/>
    <mergeCell ref="AI193:AL193"/>
    <mergeCell ref="P253:P254"/>
    <mergeCell ref="Q253:Q254"/>
    <mergeCell ref="R253:R254"/>
    <mergeCell ref="S253:S254"/>
    <mergeCell ref="T253:T254"/>
    <mergeCell ref="U253:U254"/>
    <mergeCell ref="V253:V254"/>
    <mergeCell ref="W253:W254"/>
    <mergeCell ref="AD193:AH193"/>
    <mergeCell ref="AD206:AH206"/>
    <mergeCell ref="AD194:AH194"/>
    <mergeCell ref="AD202:AH202"/>
    <mergeCell ref="AD207:AH207"/>
    <mergeCell ref="AD208:AH208"/>
    <mergeCell ref="AD219:AH219"/>
    <mergeCell ref="S234:S235"/>
    <mergeCell ref="Y234:Y235"/>
    <mergeCell ref="Z234:Z235"/>
    <mergeCell ref="AA234:AA235"/>
    <mergeCell ref="Q234:Q235"/>
    <mergeCell ref="P234:P235"/>
    <mergeCell ref="R234:R235"/>
    <mergeCell ref="AD16:AH16"/>
    <mergeCell ref="AD19:AH19"/>
    <mergeCell ref="AD17:AH17"/>
    <mergeCell ref="AD58:AH58"/>
    <mergeCell ref="AD59:AH59"/>
    <mergeCell ref="AD60:AH60"/>
    <mergeCell ref="AD61:AH61"/>
    <mergeCell ref="AD62:AH62"/>
    <mergeCell ref="AD26:AH26"/>
    <mergeCell ref="AD41:AH41"/>
    <mergeCell ref="AD55:AH55"/>
    <mergeCell ref="AD47:AH47"/>
    <mergeCell ref="AD54:AH54"/>
    <mergeCell ref="AD42:AH42"/>
    <mergeCell ref="AD43:AH43"/>
    <mergeCell ref="AD44:AH44"/>
    <mergeCell ref="AD45:AH45"/>
    <mergeCell ref="AD48:AH48"/>
    <mergeCell ref="AD40:AH40"/>
    <mergeCell ref="AD50:AH50"/>
    <mergeCell ref="AD51:AH51"/>
    <mergeCell ref="AD18:AH18"/>
    <mergeCell ref="AD22:AH22"/>
    <mergeCell ref="AD24:AH24"/>
  </mergeCells>
  <phoneticPr fontId="3" type="noConversion"/>
  <pageMargins left="0.11811023622047245" right="0.11811023622047245" top="0.27559055118110237" bottom="0.19685039370078741" header="0.15748031496062992" footer="0.19685039370078741"/>
  <pageSetup paperSize="9" scale="37" fitToHeight="0" orientation="landscape" horizontalDpi="1200" verticalDpi="1200" r:id="rId1"/>
  <headerFooter alignWithMargins="0">
    <oddFooter>Page &amp;P</oddFooter>
  </headerFooter>
  <rowBreaks count="7" manualBreakCount="7">
    <brk id="37" max="16383" man="1"/>
    <brk id="125" max="16383" man="1"/>
    <brk id="146" max="16383" man="1"/>
    <brk id="165" max="16383" man="1"/>
    <brk id="184" max="16383" man="1"/>
    <brk id="204" max="16383" man="1"/>
    <brk id="22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0bf440-f76c-482a-9ce2-35c54b6728dc">
      <Terms xmlns="http://schemas.microsoft.com/office/infopath/2007/PartnerControls"/>
    </lcf76f155ced4ddcb4097134ff3c332f>
    <TaxCatchAll xmlns="9c812a9a-031c-4ac9-8d4d-6863ba6e92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A891CA46ECE8E43B8599341AF5E98AE" ma:contentTypeVersion="18" ma:contentTypeDescription="Create a new document." ma:contentTypeScope="" ma:versionID="3660fb3432387eb523cba9c5fe432612">
  <xsd:schema xmlns:xsd="http://www.w3.org/2001/XMLSchema" xmlns:xs="http://www.w3.org/2001/XMLSchema" xmlns:p="http://schemas.microsoft.com/office/2006/metadata/properties" xmlns:ns2="f80bf440-f76c-482a-9ce2-35c54b6728dc" xmlns:ns3="9c812a9a-031c-4ac9-8d4d-6863ba6e9288" targetNamespace="http://schemas.microsoft.com/office/2006/metadata/properties" ma:root="true" ma:fieldsID="717ee3b36b5c965106d8fd2be95f1f6e" ns2:_="" ns3:_="">
    <xsd:import namespace="f80bf440-f76c-482a-9ce2-35c54b6728dc"/>
    <xsd:import namespace="9c812a9a-031c-4ac9-8d4d-6863ba6e928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0bf440-f76c-482a-9ce2-35c54b6728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f1744ca-e981-46e7-8327-cd4cc389d226"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812a9a-031c-4ac9-8d4d-6863ba6e92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fd7847a-2430-4a49-ba58-33dd6ca6afc0}" ma:internalName="TaxCatchAll" ma:showField="CatchAllData" ma:web="9c812a9a-031c-4ac9-8d4d-6863ba6e92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CCED67-C738-4C52-B0BB-63AD2152FB9B}">
  <ds:schemaRefs>
    <ds:schemaRef ds:uri="http://schemas.microsoft.com/sharepoint/v3/contenttype/forms"/>
  </ds:schemaRefs>
</ds:datastoreItem>
</file>

<file path=customXml/itemProps2.xml><?xml version="1.0" encoding="utf-8"?>
<ds:datastoreItem xmlns:ds="http://schemas.openxmlformats.org/officeDocument/2006/customXml" ds:itemID="{524C4CE8-9F63-4082-9327-67FFC67D89FC}">
  <ds:schemaRefs>
    <ds:schemaRef ds:uri="f80bf440-f76c-482a-9ce2-35c54b6728dc"/>
    <ds:schemaRef ds:uri="http://purl.org/dc/elements/1.1/"/>
    <ds:schemaRef ds:uri="http://schemas.microsoft.com/office/2006/metadata/properties"/>
    <ds:schemaRef ds:uri="9c812a9a-031c-4ac9-8d4d-6863ba6e9288"/>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99BD43F3-7503-4E9F-AB7B-F4BDD3B699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0bf440-f76c-482a-9ce2-35c54b6728dc"/>
    <ds:schemaRef ds:uri="9c812a9a-031c-4ac9-8d4d-6863ba6e92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5 Year Plan Summary </vt:lpstr>
      <vt:lpstr>5 year budget </vt:lpstr>
      <vt:lpstr>'5 year budget '!Print_Area</vt:lpstr>
      <vt:lpstr>'5 Year Plan Summary '!Print_Area</vt:lpstr>
    </vt:vector>
  </TitlesOfParts>
  <Company>Bradley Stoke Town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HUB6250XV3</dc:creator>
  <cp:lastModifiedBy>Sharon Petela</cp:lastModifiedBy>
  <cp:lastPrinted>2026-02-23T12:49:27Z</cp:lastPrinted>
  <dcterms:created xsi:type="dcterms:W3CDTF">2009-06-30T12:07:08Z</dcterms:created>
  <dcterms:modified xsi:type="dcterms:W3CDTF">2026-02-23T12:50:15Z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0x0101009A891CA46ECE8E43B8599341AF5E98AE</vt:lpwstr>
  </property>
  <property fmtid="{D5CDD505-2E9C-101B-9397-08002B2CF9AE}" pid="3" name="Order">
    <vt:r8>5878000</vt:r8>
  </property>
  <property fmtid="{D5CDD505-2E9C-101B-9397-08002B2CF9AE}" pid="4" name="MediaServiceImageTags">
    <vt:lpwstr/>
  </property>
</Properties>
</file>